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9200" windowHeight="10128" tabRatio="895"/>
  </bookViews>
  <sheets>
    <sheet name="فهرست " sheetId="29" r:id="rId1"/>
    <sheet name="نمودار بودجه جامع" sheetId="23" r:id="rId2"/>
    <sheet name=" بودجه فروش سال " sheetId="28" r:id="rId3"/>
    <sheet name="بودجه فروش فصلی" sheetId="2" r:id="rId4"/>
    <sheet name="بودجه تولید" sheetId="24" r:id="rId5"/>
    <sheet name="بودجه خرید مواد اولیه " sheetId="32" r:id="rId6"/>
    <sheet name="بودجه دستمزد مستقیم" sheetId="26" r:id="rId7"/>
    <sheet name="بودجه سربار ساخت" sheetId="30" r:id="rId8"/>
    <sheet name="تسهیم بودجه سربار ساخت " sheetId="33" r:id="rId9"/>
    <sheet name="بودجه بهای تمام شده " sheetId="31" r:id="rId10"/>
    <sheet name="بودجه حاشیه سود محصولات" sheetId="34" r:id="rId11"/>
    <sheet name="بودجه هزینه های اداری و فروش" sheetId="35" r:id="rId12"/>
    <sheet name="تسهیم هزینه های اداری و فروش" sheetId="39" r:id="rId13"/>
    <sheet name="بودجه سود و زیان" sheetId="36" r:id="rId14"/>
    <sheet name="بودجه مخارج سرمایه ای" sheetId="37" r:id="rId15"/>
    <sheet name="بودجه نقدی" sheetId="38" r:id="rId16"/>
    <sheet name="ترازنامه بودجه شده" sheetId="19" r:id="rId17"/>
    <sheet name="صورت گردش وجوه نقد" sheetId="21" r:id="rId18"/>
  </sheets>
  <externalReferences>
    <externalReference r:id="rId19"/>
  </externalReferences>
  <calcPr calcId="152511"/>
</workbook>
</file>

<file path=xl/calcChain.xml><?xml version="1.0" encoding="utf-8"?>
<calcChain xmlns="http://schemas.openxmlformats.org/spreadsheetml/2006/main">
  <c r="C15" i="33" l="1"/>
  <c r="D10" i="2"/>
  <c r="J10" i="2"/>
  <c r="B10" i="2"/>
  <c r="E10" i="2"/>
  <c r="C10" i="2" l="1"/>
  <c r="E8" i="36"/>
  <c r="D8" i="36"/>
  <c r="C8" i="36"/>
  <c r="B8" i="36"/>
  <c r="F5" i="39"/>
  <c r="E9" i="39"/>
  <c r="D9" i="39"/>
  <c r="C9" i="39"/>
  <c r="B9" i="39"/>
  <c r="E8" i="39"/>
  <c r="D8" i="39"/>
  <c r="C8" i="39"/>
  <c r="B8" i="39"/>
  <c r="E7" i="39"/>
  <c r="D7" i="39"/>
  <c r="C7" i="39"/>
  <c r="B7" i="39"/>
  <c r="E6" i="39"/>
  <c r="E10" i="39" s="1"/>
  <c r="E11" i="39" s="1"/>
  <c r="D6" i="39"/>
  <c r="C6" i="39"/>
  <c r="B6" i="39"/>
  <c r="B7" i="34"/>
  <c r="C10" i="33"/>
  <c r="L30" i="32"/>
  <c r="J30" i="32"/>
  <c r="J31" i="32"/>
  <c r="H30" i="32"/>
  <c r="F30" i="32"/>
  <c r="G31" i="24"/>
  <c r="D31" i="24"/>
  <c r="E31" i="24"/>
  <c r="F31" i="24"/>
  <c r="C31" i="24"/>
  <c r="F9" i="39" l="1"/>
  <c r="E12" i="39"/>
  <c r="E13" i="39"/>
  <c r="E14" i="39"/>
  <c r="F6" i="39"/>
  <c r="B10" i="39"/>
  <c r="B14" i="39" s="1"/>
  <c r="F7" i="39"/>
  <c r="C10" i="39"/>
  <c r="C13" i="39" s="1"/>
  <c r="F8" i="39"/>
  <c r="D10" i="39"/>
  <c r="D12" i="39" s="1"/>
  <c r="B10" i="21"/>
  <c r="B9" i="21"/>
  <c r="D21" i="21"/>
  <c r="C11" i="39" l="1"/>
  <c r="D13" i="39"/>
  <c r="D11" i="39"/>
  <c r="B13" i="39"/>
  <c r="F13" i="39" s="1"/>
  <c r="F10" i="39"/>
  <c r="C14" i="39"/>
  <c r="B12" i="39"/>
  <c r="D14" i="39"/>
  <c r="C12" i="39"/>
  <c r="B11" i="39"/>
  <c r="F18" i="19"/>
  <c r="F7" i="36"/>
  <c r="E7" i="36"/>
  <c r="D7" i="36"/>
  <c r="C7" i="36"/>
  <c r="B7" i="36"/>
  <c r="C10" i="38"/>
  <c r="B10" i="38"/>
  <c r="N30" i="32"/>
  <c r="F19" i="19"/>
  <c r="F8" i="19"/>
  <c r="F5" i="38"/>
  <c r="E8" i="38"/>
  <c r="D8" i="38"/>
  <c r="C8" i="38"/>
  <c r="B8" i="38"/>
  <c r="B9" i="38" s="1"/>
  <c r="D7" i="38"/>
  <c r="C7" i="38"/>
  <c r="E7" i="38"/>
  <c r="B8" i="31"/>
  <c r="F12" i="39" l="1"/>
  <c r="F14" i="39"/>
  <c r="F11" i="39"/>
  <c r="C26" i="19"/>
  <c r="F30" i="19"/>
  <c r="F26" i="19"/>
  <c r="F31" i="19" s="1"/>
  <c r="F32" i="19" s="1"/>
  <c r="C28" i="19"/>
  <c r="F12" i="19" l="1"/>
  <c r="F13" i="19" s="1"/>
  <c r="F14" i="19" s="1"/>
  <c r="F11" i="38" l="1"/>
  <c r="F10" i="38"/>
  <c r="R11" i="26"/>
  <c r="N11" i="26"/>
  <c r="J11" i="26"/>
  <c r="F11" i="26"/>
  <c r="E11" i="38"/>
  <c r="D11" i="38"/>
  <c r="C11" i="38"/>
  <c r="B11" i="38"/>
  <c r="L31" i="32"/>
  <c r="H31" i="32"/>
  <c r="F31" i="32"/>
  <c r="E10" i="38"/>
  <c r="D10" i="38"/>
  <c r="E7" i="37"/>
  <c r="E15" i="38" s="1"/>
  <c r="D7" i="37"/>
  <c r="D15" i="38" s="1"/>
  <c r="C7" i="37"/>
  <c r="C15" i="38" s="1"/>
  <c r="F6" i="37"/>
  <c r="F5" i="37"/>
  <c r="C6" i="35"/>
  <c r="C12" i="35" s="1"/>
  <c r="C13" i="38" s="1"/>
  <c r="D6" i="35"/>
  <c r="E6" i="35"/>
  <c r="B6" i="35"/>
  <c r="E6" i="36"/>
  <c r="D6" i="36"/>
  <c r="C6" i="36"/>
  <c r="E5" i="36"/>
  <c r="D5" i="36"/>
  <c r="C5" i="36"/>
  <c r="B5" i="36"/>
  <c r="F11" i="35"/>
  <c r="F10" i="35"/>
  <c r="F9" i="35"/>
  <c r="B8" i="21" s="1"/>
  <c r="E8" i="35"/>
  <c r="D8" i="35"/>
  <c r="C8" i="35"/>
  <c r="B8" i="35"/>
  <c r="E7" i="35"/>
  <c r="E12" i="35" s="1"/>
  <c r="E13" i="38" s="1"/>
  <c r="D7" i="35"/>
  <c r="F7" i="35" s="1"/>
  <c r="C7" i="35"/>
  <c r="B7" i="35"/>
  <c r="C11" i="34"/>
  <c r="E11" i="34"/>
  <c r="C9" i="34"/>
  <c r="D9" i="34"/>
  <c r="D11" i="34" s="1"/>
  <c r="E9" i="34"/>
  <c r="B9" i="34"/>
  <c r="B11" i="34" s="1"/>
  <c r="C17" i="31"/>
  <c r="D17" i="31"/>
  <c r="E17" i="31"/>
  <c r="E16" i="31"/>
  <c r="D16" i="31"/>
  <c r="C16" i="31"/>
  <c r="B16" i="31"/>
  <c r="D12" i="35" l="1"/>
  <c r="D13" i="38" s="1"/>
  <c r="B12" i="35"/>
  <c r="B13" i="38" s="1"/>
  <c r="F13" i="38" s="1"/>
  <c r="F7" i="38"/>
  <c r="F8" i="38"/>
  <c r="B7" i="37"/>
  <c r="B15" i="38" s="1"/>
  <c r="F7" i="37"/>
  <c r="F5" i="36"/>
  <c r="F8" i="35"/>
  <c r="F5" i="35"/>
  <c r="F6" i="35"/>
  <c r="C7" i="34"/>
  <c r="E7" i="34"/>
  <c r="E5" i="34"/>
  <c r="E10" i="34" s="1"/>
  <c r="E12" i="34" s="1"/>
  <c r="E13" i="34" s="1"/>
  <c r="D5" i="34"/>
  <c r="D10" i="34" s="1"/>
  <c r="D12" i="34" s="1"/>
  <c r="D13" i="34" s="1"/>
  <c r="C5" i="34"/>
  <c r="C10" i="34" s="1"/>
  <c r="C12" i="34" s="1"/>
  <c r="C13" i="34" s="1"/>
  <c r="F9" i="34"/>
  <c r="F11" i="34" s="1"/>
  <c r="F13" i="31"/>
  <c r="F12" i="31"/>
  <c r="F16" i="31"/>
  <c r="F9" i="38" l="1"/>
  <c r="D15" i="21"/>
  <c r="C6" i="19"/>
  <c r="C8" i="19" s="1"/>
  <c r="F12" i="35"/>
  <c r="D7" i="34"/>
  <c r="E7" i="31"/>
  <c r="D7" i="31"/>
  <c r="C7" i="31"/>
  <c r="B7" i="31"/>
  <c r="C18" i="33"/>
  <c r="C6" i="31"/>
  <c r="D6" i="31"/>
  <c r="E6" i="31"/>
  <c r="B6" i="31"/>
  <c r="E5" i="31"/>
  <c r="D5" i="31"/>
  <c r="C5" i="31"/>
  <c r="B5" i="31"/>
  <c r="B11" i="31" s="1"/>
  <c r="B14" i="31" s="1"/>
  <c r="B6" i="36" l="1"/>
  <c r="F6" i="36" s="1"/>
  <c r="B17" i="31"/>
  <c r="F14" i="31"/>
  <c r="F17" i="31" s="1"/>
  <c r="F15" i="38"/>
  <c r="C9" i="36"/>
  <c r="C10" i="36" s="1"/>
  <c r="C11" i="36" s="1"/>
  <c r="B9" i="36"/>
  <c r="F8" i="36"/>
  <c r="F9" i="36" s="1"/>
  <c r="E9" i="36"/>
  <c r="E10" i="36" s="1"/>
  <c r="E11" i="36" s="1"/>
  <c r="D9" i="36"/>
  <c r="F6" i="31"/>
  <c r="C8" i="31"/>
  <c r="C11" i="31" s="1"/>
  <c r="E8" i="31"/>
  <c r="E11" i="31" s="1"/>
  <c r="F7" i="31"/>
  <c r="D8" i="31"/>
  <c r="D11" i="31" s="1"/>
  <c r="F5" i="31"/>
  <c r="G11" i="33"/>
  <c r="G12" i="33"/>
  <c r="G13" i="33"/>
  <c r="G10" i="33"/>
  <c r="C14" i="33"/>
  <c r="D13" i="33"/>
  <c r="E13" i="33"/>
  <c r="F13" i="33"/>
  <c r="C13" i="33"/>
  <c r="D12" i="33"/>
  <c r="E12" i="33"/>
  <c r="F12" i="33"/>
  <c r="C12" i="33"/>
  <c r="D11" i="33"/>
  <c r="E11" i="33"/>
  <c r="F11" i="33"/>
  <c r="C11" i="33"/>
  <c r="D10" i="33"/>
  <c r="E10" i="33"/>
  <c r="F10" i="33"/>
  <c r="G5" i="33"/>
  <c r="F13" i="30"/>
  <c r="F12" i="30"/>
  <c r="F11" i="30"/>
  <c r="F10" i="30"/>
  <c r="E15" i="30"/>
  <c r="E12" i="38" s="1"/>
  <c r="E14" i="38" s="1"/>
  <c r="D15" i="30"/>
  <c r="D12" i="38" s="1"/>
  <c r="D14" i="38" s="1"/>
  <c r="C15" i="30"/>
  <c r="C12" i="38" s="1"/>
  <c r="C14" i="38" s="1"/>
  <c r="B15" i="30"/>
  <c r="B12" i="38" s="1"/>
  <c r="F9" i="33"/>
  <c r="E9" i="33"/>
  <c r="D9" i="33"/>
  <c r="C9" i="33"/>
  <c r="F8" i="33"/>
  <c r="E8" i="33"/>
  <c r="D8" i="33"/>
  <c r="C8" i="33"/>
  <c r="F7" i="33"/>
  <c r="E7" i="33"/>
  <c r="D7" i="33"/>
  <c r="C7" i="33"/>
  <c r="F6" i="33"/>
  <c r="E6" i="33"/>
  <c r="D6" i="33"/>
  <c r="C6" i="33"/>
  <c r="B14" i="30"/>
  <c r="C14" i="30"/>
  <c r="D14" i="30"/>
  <c r="E14" i="30"/>
  <c r="C9" i="30"/>
  <c r="D9" i="30"/>
  <c r="E9" i="30"/>
  <c r="F9" i="30"/>
  <c r="B9" i="30"/>
  <c r="F8" i="30"/>
  <c r="F7" i="30"/>
  <c r="B6" i="30"/>
  <c r="F6" i="30"/>
  <c r="F5" i="30"/>
  <c r="V11" i="26"/>
  <c r="V10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C10" i="26"/>
  <c r="V9" i="26"/>
  <c r="U9" i="26"/>
  <c r="T9" i="26"/>
  <c r="S9" i="26"/>
  <c r="R9" i="26"/>
  <c r="Q9" i="26"/>
  <c r="P9" i="26"/>
  <c r="O9" i="26"/>
  <c r="N9" i="26"/>
  <c r="M9" i="26"/>
  <c r="L9" i="26"/>
  <c r="K9" i="26"/>
  <c r="J9" i="26"/>
  <c r="I9" i="26"/>
  <c r="H9" i="26"/>
  <c r="G9" i="26"/>
  <c r="F9" i="26"/>
  <c r="E9" i="26"/>
  <c r="D9" i="26"/>
  <c r="C9" i="26"/>
  <c r="V6" i="26"/>
  <c r="R6" i="26"/>
  <c r="N6" i="26"/>
  <c r="J6" i="26"/>
  <c r="F6" i="26"/>
  <c r="U6" i="26"/>
  <c r="Q6" i="26"/>
  <c r="M6" i="26"/>
  <c r="I6" i="26"/>
  <c r="E6" i="26"/>
  <c r="T6" i="26"/>
  <c r="P6" i="26"/>
  <c r="L6" i="26"/>
  <c r="H6" i="26"/>
  <c r="D6" i="26"/>
  <c r="S6" i="26"/>
  <c r="O6" i="26"/>
  <c r="K6" i="26"/>
  <c r="G6" i="26"/>
  <c r="C6" i="26"/>
  <c r="L27" i="32"/>
  <c r="J28" i="32"/>
  <c r="F28" i="32"/>
  <c r="L20" i="32"/>
  <c r="N20" i="32" s="1"/>
  <c r="L19" i="32"/>
  <c r="J20" i="32"/>
  <c r="F22" i="32"/>
  <c r="L13" i="32"/>
  <c r="J12" i="32"/>
  <c r="F9" i="32"/>
  <c r="H13" i="32"/>
  <c r="F15" i="32"/>
  <c r="F14" i="32"/>
  <c r="F16" i="32" s="1"/>
  <c r="F13" i="32"/>
  <c r="L6" i="32"/>
  <c r="J6" i="32"/>
  <c r="H6" i="32"/>
  <c r="F8" i="32"/>
  <c r="F7" i="32"/>
  <c r="F6" i="32"/>
  <c r="K29" i="32"/>
  <c r="M29" i="32" s="1"/>
  <c r="I29" i="32"/>
  <c r="J29" i="32" s="1"/>
  <c r="G29" i="32"/>
  <c r="H29" i="32" s="1"/>
  <c r="E29" i="32"/>
  <c r="K27" i="32"/>
  <c r="I27" i="32"/>
  <c r="J27" i="32" s="1"/>
  <c r="G27" i="32"/>
  <c r="H27" i="32" s="1"/>
  <c r="E27" i="32"/>
  <c r="F27" i="32" s="1"/>
  <c r="K26" i="32"/>
  <c r="L26" i="32" s="1"/>
  <c r="I26" i="32"/>
  <c r="I28" i="32" s="1"/>
  <c r="I30" i="32" s="1"/>
  <c r="G26" i="32"/>
  <c r="E26" i="32"/>
  <c r="E28" i="32" s="1"/>
  <c r="K22" i="32"/>
  <c r="L22" i="32" s="1"/>
  <c r="I22" i="32"/>
  <c r="J22" i="32" s="1"/>
  <c r="G22" i="32"/>
  <c r="E22" i="32"/>
  <c r="K20" i="32"/>
  <c r="M20" i="32" s="1"/>
  <c r="I20" i="32"/>
  <c r="G20" i="32"/>
  <c r="H20" i="32" s="1"/>
  <c r="E20" i="32"/>
  <c r="F20" i="32" s="1"/>
  <c r="K19" i="32"/>
  <c r="K21" i="32" s="1"/>
  <c r="K23" i="32" s="1"/>
  <c r="I19" i="32"/>
  <c r="J19" i="32" s="1"/>
  <c r="G19" i="32"/>
  <c r="H19" i="32" s="1"/>
  <c r="E19" i="32"/>
  <c r="F19" i="32" s="1"/>
  <c r="K15" i="32"/>
  <c r="L15" i="32" s="1"/>
  <c r="I15" i="32"/>
  <c r="J15" i="32" s="1"/>
  <c r="G15" i="32"/>
  <c r="H15" i="32" s="1"/>
  <c r="E15" i="32"/>
  <c r="K13" i="32"/>
  <c r="I13" i="32"/>
  <c r="J13" i="32" s="1"/>
  <c r="G13" i="32"/>
  <c r="M13" i="32" s="1"/>
  <c r="E13" i="32"/>
  <c r="K12" i="32"/>
  <c r="L12" i="32" s="1"/>
  <c r="I12" i="32"/>
  <c r="I14" i="32" s="1"/>
  <c r="I16" i="32" s="1"/>
  <c r="G12" i="32"/>
  <c r="E12" i="32"/>
  <c r="E14" i="32" s="1"/>
  <c r="E16" i="32" s="1"/>
  <c r="K8" i="32"/>
  <c r="L8" i="32" s="1"/>
  <c r="I8" i="32"/>
  <c r="J8" i="32" s="1"/>
  <c r="G8" i="32"/>
  <c r="H8" i="32" s="1"/>
  <c r="E8" i="32"/>
  <c r="K6" i="32"/>
  <c r="M6" i="32" s="1"/>
  <c r="I6" i="32"/>
  <c r="G6" i="32"/>
  <c r="E6" i="32"/>
  <c r="K5" i="32"/>
  <c r="L5" i="32" s="1"/>
  <c r="I5" i="32"/>
  <c r="I7" i="32" s="1"/>
  <c r="I9" i="32" s="1"/>
  <c r="G5" i="32"/>
  <c r="E5" i="32"/>
  <c r="E7" i="32" s="1"/>
  <c r="F30" i="24"/>
  <c r="D30" i="24"/>
  <c r="G29" i="24"/>
  <c r="F28" i="24"/>
  <c r="E28" i="24"/>
  <c r="E30" i="24" s="1"/>
  <c r="D28" i="24"/>
  <c r="C28" i="24"/>
  <c r="C30" i="24" s="1"/>
  <c r="G27" i="24"/>
  <c r="F23" i="24"/>
  <c r="D23" i="24"/>
  <c r="C23" i="24"/>
  <c r="G22" i="24"/>
  <c r="F21" i="24"/>
  <c r="E21" i="24"/>
  <c r="E23" i="24" s="1"/>
  <c r="D21" i="24"/>
  <c r="C21" i="24"/>
  <c r="G20" i="24"/>
  <c r="F16" i="24"/>
  <c r="D16" i="24"/>
  <c r="C16" i="24"/>
  <c r="G15" i="24"/>
  <c r="F14" i="24"/>
  <c r="E14" i="24"/>
  <c r="E16" i="24" s="1"/>
  <c r="D14" i="24"/>
  <c r="C14" i="24"/>
  <c r="G13" i="24"/>
  <c r="G14" i="24" s="1"/>
  <c r="F9" i="24"/>
  <c r="C9" i="24"/>
  <c r="C10" i="24"/>
  <c r="G8" i="24"/>
  <c r="D7" i="24"/>
  <c r="D9" i="24" s="1"/>
  <c r="E7" i="24"/>
  <c r="E9" i="24" s="1"/>
  <c r="F7" i="24"/>
  <c r="C7" i="24"/>
  <c r="G6" i="24"/>
  <c r="G7" i="24" s="1"/>
  <c r="G26" i="24"/>
  <c r="G19" i="24"/>
  <c r="G12" i="24"/>
  <c r="F26" i="24"/>
  <c r="E26" i="24"/>
  <c r="D26" i="24"/>
  <c r="C26" i="24"/>
  <c r="F19" i="24"/>
  <c r="E19" i="24"/>
  <c r="D19" i="24"/>
  <c r="C19" i="24"/>
  <c r="F12" i="24"/>
  <c r="E12" i="24"/>
  <c r="D12" i="24"/>
  <c r="C12" i="24"/>
  <c r="G5" i="24"/>
  <c r="F5" i="24"/>
  <c r="E5" i="24"/>
  <c r="D5" i="24"/>
  <c r="C5" i="24"/>
  <c r="F10" i="2"/>
  <c r="I10" i="2"/>
  <c r="L10" i="2"/>
  <c r="O10" i="2"/>
  <c r="O9" i="2"/>
  <c r="O8" i="2"/>
  <c r="O7" i="2"/>
  <c r="O6" i="2"/>
  <c r="P9" i="2"/>
  <c r="P8" i="2"/>
  <c r="P7" i="2"/>
  <c r="P6" i="2"/>
  <c r="F9" i="2"/>
  <c r="F8" i="2"/>
  <c r="F7" i="2"/>
  <c r="F6" i="2"/>
  <c r="C9" i="2"/>
  <c r="D9" i="2"/>
  <c r="C8" i="2"/>
  <c r="D8" i="2"/>
  <c r="C7" i="2"/>
  <c r="D7" i="2"/>
  <c r="D6" i="2"/>
  <c r="C6" i="2"/>
  <c r="M9" i="28"/>
  <c r="J9" i="28"/>
  <c r="G9" i="28"/>
  <c r="M8" i="28"/>
  <c r="M7" i="28"/>
  <c r="M6" i="28"/>
  <c r="B5" i="34" s="1"/>
  <c r="N9" i="2"/>
  <c r="N8" i="2"/>
  <c r="N7" i="2"/>
  <c r="N6" i="2"/>
  <c r="J8" i="28"/>
  <c r="J7" i="28"/>
  <c r="J6" i="28"/>
  <c r="G8" i="28"/>
  <c r="G7" i="28"/>
  <c r="G6" i="28"/>
  <c r="B14" i="38" l="1"/>
  <c r="B16" i="38" s="1"/>
  <c r="C5" i="38" s="1"/>
  <c r="C9" i="38" s="1"/>
  <c r="C16" i="38" s="1"/>
  <c r="D5" i="38" s="1"/>
  <c r="D9" i="38" s="1"/>
  <c r="D16" i="38" s="1"/>
  <c r="E5" i="38" s="1"/>
  <c r="E9" i="38" s="1"/>
  <c r="E16" i="38" s="1"/>
  <c r="F12" i="38"/>
  <c r="F14" i="38" s="1"/>
  <c r="F16" i="38"/>
  <c r="C12" i="19" s="1"/>
  <c r="C13" i="19" s="1"/>
  <c r="C14" i="19" s="1"/>
  <c r="B10" i="34"/>
  <c r="B12" i="34" s="1"/>
  <c r="B13" i="34" s="1"/>
  <c r="F5" i="34"/>
  <c r="F10" i="34" s="1"/>
  <c r="F12" i="34" s="1"/>
  <c r="F13" i="34" s="1"/>
  <c r="F7" i="34"/>
  <c r="D10" i="36"/>
  <c r="D11" i="36" s="1"/>
  <c r="B10" i="36"/>
  <c r="D14" i="31"/>
  <c r="E14" i="31"/>
  <c r="F11" i="31"/>
  <c r="F8" i="31"/>
  <c r="C14" i="31"/>
  <c r="F14" i="30"/>
  <c r="F15" i="30" s="1"/>
  <c r="G6" i="33"/>
  <c r="G7" i="33"/>
  <c r="G8" i="33"/>
  <c r="G9" i="33"/>
  <c r="N15" i="32"/>
  <c r="N13" i="32"/>
  <c r="G7" i="32"/>
  <c r="H5" i="32"/>
  <c r="G14" i="32"/>
  <c r="H12" i="32"/>
  <c r="N12" i="32" s="1"/>
  <c r="H22" i="32"/>
  <c r="M22" i="32"/>
  <c r="G28" i="32"/>
  <c r="H26" i="32"/>
  <c r="M26" i="32"/>
  <c r="N6" i="32"/>
  <c r="N19" i="32"/>
  <c r="N8" i="32"/>
  <c r="N22" i="32"/>
  <c r="N27" i="32"/>
  <c r="J7" i="32"/>
  <c r="J9" i="32" s="1"/>
  <c r="M8" i="32"/>
  <c r="M19" i="32"/>
  <c r="M27" i="32"/>
  <c r="M15" i="32"/>
  <c r="J14" i="32"/>
  <c r="J16" i="32" s="1"/>
  <c r="L21" i="32"/>
  <c r="J26" i="32"/>
  <c r="N26" i="32" s="1"/>
  <c r="L29" i="32"/>
  <c r="F5" i="32"/>
  <c r="J5" i="32"/>
  <c r="N5" i="32" s="1"/>
  <c r="F12" i="32"/>
  <c r="M12" i="32"/>
  <c r="F29" i="32"/>
  <c r="F26" i="32"/>
  <c r="G21" i="32"/>
  <c r="I21" i="32"/>
  <c r="M5" i="32"/>
  <c r="K14" i="32"/>
  <c r="E9" i="32"/>
  <c r="E10" i="32" s="1"/>
  <c r="E30" i="32"/>
  <c r="K7" i="32"/>
  <c r="E21" i="32"/>
  <c r="F21" i="32" s="1"/>
  <c r="F23" i="32" s="1"/>
  <c r="K28" i="32"/>
  <c r="G30" i="24"/>
  <c r="G28" i="24"/>
  <c r="G23" i="24"/>
  <c r="G21" i="24"/>
  <c r="G16" i="24"/>
  <c r="G9" i="24"/>
  <c r="F10" i="36" l="1"/>
  <c r="C29" i="19" s="1"/>
  <c r="B11" i="36"/>
  <c r="F11" i="36" s="1"/>
  <c r="E14" i="33"/>
  <c r="E16" i="33" s="1"/>
  <c r="E17" i="33"/>
  <c r="C17" i="33"/>
  <c r="C16" i="33"/>
  <c r="E18" i="33"/>
  <c r="G14" i="33"/>
  <c r="D14" i="33"/>
  <c r="E15" i="33"/>
  <c r="F14" i="33"/>
  <c r="K9" i="32"/>
  <c r="L7" i="32"/>
  <c r="M7" i="32"/>
  <c r="M9" i="32" s="1"/>
  <c r="I23" i="32"/>
  <c r="J21" i="32"/>
  <c r="J23" i="32" s="1"/>
  <c r="L23" i="32"/>
  <c r="G9" i="32"/>
  <c r="H7" i="32"/>
  <c r="H9" i="32" s="1"/>
  <c r="K30" i="32"/>
  <c r="M28" i="32"/>
  <c r="M30" i="32" s="1"/>
  <c r="L28" i="32"/>
  <c r="M21" i="32"/>
  <c r="M23" i="32" s="1"/>
  <c r="K16" i="32"/>
  <c r="L14" i="32"/>
  <c r="M14" i="32"/>
  <c r="M16" i="32" s="1"/>
  <c r="G23" i="32"/>
  <c r="H21" i="32"/>
  <c r="H23" i="32" s="1"/>
  <c r="N29" i="32"/>
  <c r="G30" i="32"/>
  <c r="H28" i="32"/>
  <c r="G16" i="32"/>
  <c r="H14" i="32"/>
  <c r="H16" i="32" s="1"/>
  <c r="E23" i="32"/>
  <c r="M10" i="28"/>
  <c r="K10" i="28"/>
  <c r="J10" i="28"/>
  <c r="H10" i="28"/>
  <c r="G10" i="28"/>
  <c r="E10" i="28"/>
  <c r="D10" i="28"/>
  <c r="B10" i="28"/>
  <c r="L9" i="28"/>
  <c r="I9" i="28"/>
  <c r="F9" i="28"/>
  <c r="C9" i="28"/>
  <c r="L8" i="28"/>
  <c r="I8" i="28"/>
  <c r="F8" i="28"/>
  <c r="C8" i="28"/>
  <c r="L7" i="28"/>
  <c r="I7" i="28"/>
  <c r="F7" i="28"/>
  <c r="C7" i="28"/>
  <c r="L6" i="28"/>
  <c r="I6" i="28"/>
  <c r="I10" i="28" s="1"/>
  <c r="F6" i="28"/>
  <c r="C6" i="28"/>
  <c r="C30" i="19" l="1"/>
  <c r="C31" i="19" s="1"/>
  <c r="B11" i="21"/>
  <c r="C12" i="21" s="1"/>
  <c r="C6" i="21"/>
  <c r="C18" i="19"/>
  <c r="C19" i="19" s="1"/>
  <c r="D16" i="33"/>
  <c r="D17" i="33"/>
  <c r="G17" i="33" s="1"/>
  <c r="D18" i="33"/>
  <c r="D15" i="33"/>
  <c r="F17" i="33"/>
  <c r="F15" i="33"/>
  <c r="F18" i="33"/>
  <c r="F16" i="33"/>
  <c r="N28" i="32"/>
  <c r="L16" i="32"/>
  <c r="N14" i="32"/>
  <c r="N16" i="32" s="1"/>
  <c r="N21" i="32"/>
  <c r="N23" i="32" s="1"/>
  <c r="L9" i="32"/>
  <c r="N7" i="32"/>
  <c r="N9" i="32" s="1"/>
  <c r="L10" i="28"/>
  <c r="F10" i="28"/>
  <c r="P10" i="2"/>
  <c r="N10" i="2"/>
  <c r="M10" i="2"/>
  <c r="K10" i="2"/>
  <c r="H10" i="2"/>
  <c r="G10" i="2"/>
  <c r="C32" i="19" l="1"/>
  <c r="D13" i="21"/>
  <c r="D20" i="21" s="1"/>
  <c r="D22" i="21" s="1"/>
  <c r="G15" i="33"/>
  <c r="G16" i="33"/>
  <c r="G18" i="33"/>
  <c r="N31" i="32"/>
</calcChain>
</file>

<file path=xl/comments1.xml><?xml version="1.0" encoding="utf-8"?>
<comments xmlns="http://schemas.openxmlformats.org/spreadsheetml/2006/main">
  <authors>
    <author>Tavakoli, Rohollah</author>
  </authors>
  <commentList>
    <comment ref="A12" authorId="0">
      <text>
        <r>
          <rPr>
            <sz val="9"/>
            <color indexed="81"/>
            <rFont val="Tahoma"/>
            <family val="2"/>
          </rPr>
          <t xml:space="preserve">
هزینه های غیر نقدی مانند استهلاک کسر شده</t>
        </r>
      </text>
    </comment>
    <comment ref="A13" authorId="0">
      <text>
        <r>
          <rPr>
            <sz val="9"/>
            <color indexed="81"/>
            <rFont val="Tahoma"/>
            <family val="2"/>
          </rPr>
          <t xml:space="preserve">
هزینه های غیر نقدی مانند استهلاک  کسر شده است</t>
        </r>
      </text>
    </comment>
  </commentList>
</comments>
</file>

<file path=xl/sharedStrings.xml><?xml version="1.0" encoding="utf-8"?>
<sst xmlns="http://schemas.openxmlformats.org/spreadsheetml/2006/main" count="521" uniqueCount="231">
  <si>
    <t>شرح</t>
  </si>
  <si>
    <t xml:space="preserve">بودجه فروش </t>
  </si>
  <si>
    <t>سه ماهه اول</t>
  </si>
  <si>
    <t>سه ماهه سوم</t>
  </si>
  <si>
    <t>سه ماهه چهارم</t>
  </si>
  <si>
    <t>جمع اقلام ثابت</t>
  </si>
  <si>
    <t>مواد مستقيم</t>
  </si>
  <si>
    <t>دستمزد مستقيم</t>
  </si>
  <si>
    <t>جمع</t>
  </si>
  <si>
    <t>هزينه هاي اداري</t>
  </si>
  <si>
    <t>فروش</t>
  </si>
  <si>
    <t>سود ناخالص</t>
  </si>
  <si>
    <t>ترازنامه بودجه شده</t>
  </si>
  <si>
    <t>سود انباشته</t>
  </si>
  <si>
    <t>سربار ساخت</t>
  </si>
  <si>
    <t>سود خالص</t>
  </si>
  <si>
    <t>شركت پارسین</t>
  </si>
  <si>
    <t>تعداد</t>
  </si>
  <si>
    <t>نرخ</t>
  </si>
  <si>
    <t>مبلغ</t>
  </si>
  <si>
    <t>سه ماهه دوم</t>
  </si>
  <si>
    <t>شرح محصولات</t>
  </si>
  <si>
    <t>جمع سال</t>
  </si>
  <si>
    <t xml:space="preserve">بودجه تولید </t>
  </si>
  <si>
    <t>واحد</t>
  </si>
  <si>
    <t>عدد</t>
  </si>
  <si>
    <t>اضافه میشود: موجودی پایان دوره</t>
  </si>
  <si>
    <t xml:space="preserve">بودجه مورد نیاز </t>
  </si>
  <si>
    <t>کسر میشود: موجودی ابتدای دوره</t>
  </si>
  <si>
    <t>شرکت پارسین</t>
  </si>
  <si>
    <t>بودجه تولید محصولات</t>
  </si>
  <si>
    <t>بودجه خرید مواداولیه</t>
  </si>
  <si>
    <t>بودجه خرید مواد اولیه</t>
  </si>
  <si>
    <t>مقدارمواد اولیه مورد نیاز جهت تولید</t>
  </si>
  <si>
    <t xml:space="preserve">بودجه مواد اولیه مورد نیاز </t>
  </si>
  <si>
    <t>کسر میشود: موجودی مواد اولیه ابتدای دوره</t>
  </si>
  <si>
    <t>نرخ واحد</t>
  </si>
  <si>
    <t>بودجه دستمزد مستقیم</t>
  </si>
  <si>
    <t>ساعت</t>
  </si>
  <si>
    <t>نرخ ساعتی دستمزد</t>
  </si>
  <si>
    <t>ریال</t>
  </si>
  <si>
    <t>عملکرد سال x1/12/29</t>
  </si>
  <si>
    <t>عملکرد سال x2/12/29</t>
  </si>
  <si>
    <t>عملکرد 9ماهه x3/12/29</t>
  </si>
  <si>
    <t>پیش بینی x4/12/29</t>
  </si>
  <si>
    <t>نمودار بودجه جامع</t>
  </si>
  <si>
    <t>بودجه فروش سال</t>
  </si>
  <si>
    <t>بودجه فروش فصلی</t>
  </si>
  <si>
    <t>بودجه تولید</t>
  </si>
  <si>
    <t>بودجه سربار ساخت</t>
  </si>
  <si>
    <t>بودجه بهای تمام شده</t>
  </si>
  <si>
    <t>بودجه مخارج سرمایه ای</t>
  </si>
  <si>
    <t>بودجه نقدی</t>
  </si>
  <si>
    <t xml:space="preserve"> صورت سود وزیان بودجه شده</t>
  </si>
  <si>
    <t>صورت جریان وجوه نقد بودجه شده</t>
  </si>
  <si>
    <t>بودجه عملیاتی</t>
  </si>
  <si>
    <t>بودجه مالی</t>
  </si>
  <si>
    <t>ساختار بودجه</t>
  </si>
  <si>
    <t>عنوان بودجه</t>
  </si>
  <si>
    <t xml:space="preserve">بودجه دستمزد مستقیم </t>
  </si>
  <si>
    <t>هزینه مواد کمکی</t>
  </si>
  <si>
    <t>هزینه آب ، برق ، گاز و تلفن</t>
  </si>
  <si>
    <t>جمع اقلام متغیر</t>
  </si>
  <si>
    <t>هزینه استهلاک ماشین آلات</t>
  </si>
  <si>
    <t>هزینه تعمیر و نگهداری ساختمان</t>
  </si>
  <si>
    <t>هزینه بیمه اموال</t>
  </si>
  <si>
    <t>هزینه سرپرستی تولید</t>
  </si>
  <si>
    <t>مواد اولیه</t>
  </si>
  <si>
    <t>دستمزد مستقیم</t>
  </si>
  <si>
    <t>جمع هزینه تولید</t>
  </si>
  <si>
    <t>اضافه میشود: کاردرجریان ساخت ابتدای دوره</t>
  </si>
  <si>
    <t>کسر میشود : کار در جریان ساخت پایان دوره</t>
  </si>
  <si>
    <t>بهای تمام شده کالای ساخته شده</t>
  </si>
  <si>
    <t>اضافه میشود: کالای ساخته شده ابتدای دوره</t>
  </si>
  <si>
    <t>کسر میشود : کالای ساخته شده پایان دوره</t>
  </si>
  <si>
    <t>بهای تمام شده کالای فروش رفته</t>
  </si>
  <si>
    <t>شلوار کتان</t>
  </si>
  <si>
    <t>شلوارجین</t>
  </si>
  <si>
    <t>شلوار فاستونی</t>
  </si>
  <si>
    <t>شلوار مخمل</t>
  </si>
  <si>
    <t>بودجه تولید شلوار کتان</t>
  </si>
  <si>
    <t>بودجه تولید شلوار جین</t>
  </si>
  <si>
    <t>بودجه تولید شلوار فاستونی</t>
  </si>
  <si>
    <t>بودجه تولید شلوارفاستونی</t>
  </si>
  <si>
    <t>بودجه تولید شلوار مخمل</t>
  </si>
  <si>
    <t>شلوار جین</t>
  </si>
  <si>
    <t>متر</t>
  </si>
  <si>
    <t>بودجه خرید مواداولیه - کتان</t>
  </si>
  <si>
    <t>بودجه خرید مواد اولیه -شلوارکتان</t>
  </si>
  <si>
    <t>بودجه خرید مواد اولیه - شلوار جین</t>
  </si>
  <si>
    <t>بودجه خرید مواد اولیه - شلوار فاستونی</t>
  </si>
  <si>
    <t>بودجه خرید مواد اولیه - شلوار مخمل</t>
  </si>
  <si>
    <t>مقدار</t>
  </si>
  <si>
    <t>مقدار3 ماهه اول</t>
  </si>
  <si>
    <t>مبلغ 3 ماهه اول</t>
  </si>
  <si>
    <t>مقدار 3 ماهه دوم</t>
  </si>
  <si>
    <t>مبلغ 3 ماهه دوم</t>
  </si>
  <si>
    <t>مقدار 3 ماهه سوم</t>
  </si>
  <si>
    <t>مبلغ 3 ماهه سوم</t>
  </si>
  <si>
    <t>مقدار 3 ماهه چهارم</t>
  </si>
  <si>
    <t>مبلغ 3 ماهه چهارم</t>
  </si>
  <si>
    <t>مقدار کل سال</t>
  </si>
  <si>
    <t>مبلغ کل سال</t>
  </si>
  <si>
    <t>نفر ساعت تولید یک واحد محصول</t>
  </si>
  <si>
    <t>بودجه دستمزد تولید یک واحد محصول</t>
  </si>
  <si>
    <t>بودجه دستمزد تولید کل محصولات</t>
  </si>
  <si>
    <t xml:space="preserve">هزینه دستمزد غیرمستقیم </t>
  </si>
  <si>
    <t>جمع اقلام  ثابت و متغیر</t>
  </si>
  <si>
    <t>شلوار کتان - بودجه تولید</t>
  </si>
  <si>
    <t>شلوار جین  - بودجه تولید</t>
  </si>
  <si>
    <t>شلوار فاستونی - بودجه تولید</t>
  </si>
  <si>
    <t>شلوار مخمل - بودجه تولید</t>
  </si>
  <si>
    <t>نفر ساعت کل تولید</t>
  </si>
  <si>
    <t xml:space="preserve">هزینه تعمیر و نگهداری ماشین آلات </t>
  </si>
  <si>
    <t>نفر ساعت تولید کل - شلوار کتان</t>
  </si>
  <si>
    <t>نفر ساعت تولید کل - شلوار جین</t>
  </si>
  <si>
    <t>نفر ساعت تولید کل - شلوار فاستونی</t>
  </si>
  <si>
    <t>نفر ساعت تولید کل - شلوار مخمل</t>
  </si>
  <si>
    <t>جمع اقلام سربار ثابت و متغیر</t>
  </si>
  <si>
    <t>نفر ساعت</t>
  </si>
  <si>
    <t>سهم شلوار کتان از هزینه های سربار</t>
  </si>
  <si>
    <t>سهم شلوار جین از هزینه های سربار</t>
  </si>
  <si>
    <t>سهم شلوار مخمل از هزینه های سربار</t>
  </si>
  <si>
    <t>سهم شلوار فاستونی از هزینه های سربار</t>
  </si>
  <si>
    <t>بهای تمام شده یکواحد محصول</t>
  </si>
  <si>
    <t>فروش محصولات</t>
  </si>
  <si>
    <t>تعداد فروش</t>
  </si>
  <si>
    <t>فروش شده یکواحد محصول</t>
  </si>
  <si>
    <t>بهای تمام شده یک واحد محصول</t>
  </si>
  <si>
    <t>حاشیه سود محصولات</t>
  </si>
  <si>
    <t>درصد حاشیه سود محصولات</t>
  </si>
  <si>
    <t>بودجه هزینه های اداری و توزیع و فروش</t>
  </si>
  <si>
    <t>هزینه حقوق مدیران</t>
  </si>
  <si>
    <t>هزینه حقوق کارکنان اداری</t>
  </si>
  <si>
    <t>هزینه نگهداری و تعمیرات</t>
  </si>
  <si>
    <t>هزینه ملزومات مصرفی</t>
  </si>
  <si>
    <t>استهلاک ساختمان</t>
  </si>
  <si>
    <t>آگهی و تبلیغات</t>
  </si>
  <si>
    <t>هزینه نمایشگاه</t>
  </si>
  <si>
    <t>هزینه های اداری و توزیع و فروش</t>
  </si>
  <si>
    <t>سود قبل از کسر مالیات</t>
  </si>
  <si>
    <t>کسر میشود : مالیات</t>
  </si>
  <si>
    <t>ماشین آلات تولیدی</t>
  </si>
  <si>
    <t>تجهیزات اداری</t>
  </si>
  <si>
    <t>موجودی نقد اول دوره</t>
  </si>
  <si>
    <t xml:space="preserve">  وصولی بابت فروش</t>
  </si>
  <si>
    <t>جمع وجوه نقد ورودی</t>
  </si>
  <si>
    <t>جمع وجوه نقد مخارج پرداختی</t>
  </si>
  <si>
    <t>مخارج سرمایه ای</t>
  </si>
  <si>
    <t>از سه ماهه جاری ( 70درصد از 3 ماهه جاری)</t>
  </si>
  <si>
    <t>از سه ماهه قبل  (30 درصد از 3 ماهه قبل)</t>
  </si>
  <si>
    <t>جمع بودجه خرید مواد اولیه</t>
  </si>
  <si>
    <t>جمع بودجه دستمزد سه ماهه</t>
  </si>
  <si>
    <t>موجودی نقد پایان دوره</t>
  </si>
  <si>
    <t>نام شرکت</t>
  </si>
  <si>
    <t>صورت وضعیت مالی (ترازنامه)</t>
  </si>
  <si>
    <t>دارایی ها</t>
  </si>
  <si>
    <t>14x2/12/29</t>
  </si>
  <si>
    <t>14x1/12/29</t>
  </si>
  <si>
    <t>دارایی های غیر جاری</t>
  </si>
  <si>
    <t xml:space="preserve"> ریال</t>
  </si>
  <si>
    <t>دارایی های ثابت مشهود</t>
  </si>
  <si>
    <t>دارایی های نامشهود</t>
  </si>
  <si>
    <t xml:space="preserve">جمع دارایی های غیر جاری </t>
  </si>
  <si>
    <t>دارایی های جاری</t>
  </si>
  <si>
    <t>دریافتی های تجاری و سایر دریافتنی ها</t>
  </si>
  <si>
    <t xml:space="preserve">موجودی نقد </t>
  </si>
  <si>
    <t xml:space="preserve">جمع دارایی های جاری </t>
  </si>
  <si>
    <t>جمع دارایی ها</t>
  </si>
  <si>
    <t>حقوق مالکانه و بدهی ها</t>
  </si>
  <si>
    <t>حقوق مالکانه</t>
  </si>
  <si>
    <t>سرمایه</t>
  </si>
  <si>
    <t>جمع حقوق مالکانه</t>
  </si>
  <si>
    <t>بدهی ها</t>
  </si>
  <si>
    <t>بدهی های غیر جاری</t>
  </si>
  <si>
    <t>ذخیره مزایای پایان خدمت کارکنان</t>
  </si>
  <si>
    <t>جمع بدهی های غیر جاری</t>
  </si>
  <si>
    <t>بدهی های جاری</t>
  </si>
  <si>
    <t>پرداختی های تجاری وسایر پرداختنی ها</t>
  </si>
  <si>
    <t>مالیات پرداختنی</t>
  </si>
  <si>
    <t>جمع بدهی های جاری</t>
  </si>
  <si>
    <t xml:space="preserve">جمع بدهی ها </t>
  </si>
  <si>
    <t>جمع حقوق مالکانه و بدهی ها</t>
  </si>
  <si>
    <t>موجودی محصول</t>
  </si>
  <si>
    <t>x4/12/29</t>
  </si>
  <si>
    <t>x3/12/29</t>
  </si>
  <si>
    <t xml:space="preserve">سود خالص </t>
  </si>
  <si>
    <t>هزینه استهلاک</t>
  </si>
  <si>
    <t xml:space="preserve">افزایش در حسابهای دریافتنی </t>
  </si>
  <si>
    <t>کاهش در موجودی کالا</t>
  </si>
  <si>
    <t>افزایش در مالیات پرداختنی</t>
  </si>
  <si>
    <t xml:space="preserve">جمع </t>
  </si>
  <si>
    <t>خالص وجه نقد حاصل از فعالیت های عملیاتی</t>
  </si>
  <si>
    <t>گردش وجوه نقد ناشی از فعالیت های سرمایه گذاری:</t>
  </si>
  <si>
    <t>وجوه پرداختی  بابت خرید تجهیزات</t>
  </si>
  <si>
    <t>گردش وجوه نقد ناشی از فعالیت های تامین مالی:</t>
  </si>
  <si>
    <t xml:space="preserve">وجوه پرداختی بابت اقساط وام بلند مدت </t>
  </si>
  <si>
    <t xml:space="preserve">پرداخت سود نقدی سهام </t>
  </si>
  <si>
    <t>خالص وجه نقد پرداختی بابت فعالیت های تامین مالی</t>
  </si>
  <si>
    <t>افزایش خالص در موجودی نقد طی سال X4</t>
  </si>
  <si>
    <t>مانده وجوه نقد در ابتدای سال X4</t>
  </si>
  <si>
    <t>مانده وجوه نقد در پایان سال X4</t>
  </si>
  <si>
    <t xml:space="preserve">شرح </t>
  </si>
  <si>
    <t>وجوه نقد حاصل از فعالیت های عملیاتی</t>
  </si>
  <si>
    <t>اضافه(کسر) می شود: اقلام موثر در اندازه گیری سود خالص که تاثیری بر گردش وجوه نقد طی سال مالی جاری نداشته اند:</t>
  </si>
  <si>
    <t>مجموع بودجه تولید</t>
  </si>
  <si>
    <t>تعداد تولید شلوار کتان</t>
  </si>
  <si>
    <t>تعداد تولید شلوار جین</t>
  </si>
  <si>
    <t>تعداد تولید شلوار فاستونی</t>
  </si>
  <si>
    <t>تعداد تولید شلوار مخمل</t>
  </si>
  <si>
    <t>مجموع تولید</t>
  </si>
  <si>
    <t xml:space="preserve"> بودجه سربار ساخت</t>
  </si>
  <si>
    <t>تسهیم بودجه سربار ساخت</t>
  </si>
  <si>
    <t>بودجه هزینه اداری و فروش</t>
  </si>
  <si>
    <t>تسهیم بودجه هزینه اداری و فروش</t>
  </si>
  <si>
    <t xml:space="preserve">بودجه خرید مواد اولیه </t>
  </si>
  <si>
    <t>بودجه حاشیه سود محصولات</t>
  </si>
  <si>
    <r>
      <t xml:space="preserve">در تاریخ 29 اسفند ماه </t>
    </r>
    <r>
      <rPr>
        <sz val="16"/>
        <color theme="1"/>
        <rFont val="B Nazanin"/>
        <charset val="178"/>
      </rPr>
      <t>X</t>
    </r>
    <r>
      <rPr>
        <sz val="18"/>
        <color theme="1"/>
        <rFont val="B Nazanin"/>
        <charset val="178"/>
      </rPr>
      <t>4</t>
    </r>
  </si>
  <si>
    <t>سهم شلوار کتان از هزینه اداری و  فروش</t>
  </si>
  <si>
    <t>سهم شلوار جین از هزینه اداری و فروش</t>
  </si>
  <si>
    <t>سهم شلوار فاستونی از هزینه اداری و فروش</t>
  </si>
  <si>
    <t>سهم شلوار مخمل از هزینه اداری و فروش</t>
  </si>
  <si>
    <t>بودجه هزینه های اداری  و فروش</t>
  </si>
  <si>
    <t>بودجه صورت سود و (زیان)</t>
  </si>
  <si>
    <t>صورت جریان های نقدی بودجه شده</t>
  </si>
  <si>
    <r>
      <t xml:space="preserve"> سال منتهی به 29 اسفند </t>
    </r>
    <r>
      <rPr>
        <sz val="16"/>
        <rFont val="B Nazanin"/>
        <charset val="178"/>
      </rPr>
      <t>X</t>
    </r>
    <r>
      <rPr>
        <sz val="18"/>
        <rFont val="B Nazanin"/>
        <charset val="178"/>
      </rPr>
      <t>4</t>
    </r>
  </si>
  <si>
    <t>سال مالی منتهی به x4/12/29</t>
  </si>
  <si>
    <t>سال مالی منتهی x4/12/29</t>
  </si>
  <si>
    <t xml:space="preserve">سال مالی منتهی به x4/12/29  </t>
  </si>
  <si>
    <r>
      <t xml:space="preserve">سال مالی منتهی به </t>
    </r>
    <r>
      <rPr>
        <sz val="16"/>
        <color indexed="8"/>
        <rFont val="B Nazanin"/>
        <charset val="178"/>
      </rPr>
      <t>X</t>
    </r>
    <r>
      <rPr>
        <sz val="18"/>
        <color indexed="8"/>
        <rFont val="B Nazanin"/>
        <charset val="178"/>
      </rPr>
      <t xml:space="preserve">4/12/29 </t>
    </r>
  </si>
  <si>
    <t>در تاریخ 29 اسفند ماه x4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</si>
</sst>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_-* #,##0.00\-;_-* &quot;-&quot;??_-;_-@_-"/>
    <numFmt numFmtId="165" formatCode="#,##0.0"/>
    <numFmt numFmtId="166" formatCode="_-* #,##0_-;_-* #,##0\-;_-* &quot;-&quot;??_-;_-@_-"/>
    <numFmt numFmtId="167" formatCode="#,##0_ ;\-#,##0\ "/>
    <numFmt numFmtId="168" formatCode="#,##0_-;[Red]\(#,###\)"/>
  </numFmts>
  <fonts count="29">
    <font>
      <sz val="10"/>
      <name val="Arial"/>
    </font>
    <font>
      <sz val="10"/>
      <name val="Titr"/>
      <charset val="178"/>
    </font>
    <font>
      <sz val="18"/>
      <name val="B Nazanin"/>
      <charset val="178"/>
    </font>
    <font>
      <sz val="14"/>
      <name val="B Nazanin"/>
      <charset val="178"/>
    </font>
    <font>
      <sz val="16"/>
      <name val="B Nazanin"/>
      <charset val="178"/>
    </font>
    <font>
      <sz val="16"/>
      <color indexed="8"/>
      <name val="B Nazanin"/>
      <charset val="178"/>
    </font>
    <font>
      <sz val="18"/>
      <color indexed="8"/>
      <name val="B Nazanin"/>
      <charset val="178"/>
    </font>
    <font>
      <sz val="18"/>
      <color theme="1"/>
      <name val="B Nazanin"/>
      <charset val="178"/>
    </font>
    <font>
      <sz val="10"/>
      <name val="Arial"/>
      <family val="2"/>
    </font>
    <font>
      <u/>
      <sz val="10"/>
      <color theme="10"/>
      <name val="Arial"/>
      <family val="2"/>
    </font>
    <font>
      <sz val="16"/>
      <name val="Arial"/>
      <family val="2"/>
    </font>
    <font>
      <sz val="16"/>
      <name val="2  Farnaz"/>
      <charset val="178"/>
    </font>
    <font>
      <sz val="18"/>
      <color theme="1"/>
      <name val="2  Farnaz"/>
      <charset val="178"/>
    </font>
    <font>
      <sz val="10"/>
      <name val="Arial"/>
      <family val="2"/>
    </font>
    <font>
      <sz val="20"/>
      <name val="B Nazanin"/>
      <charset val="178"/>
    </font>
    <font>
      <sz val="20"/>
      <color theme="1"/>
      <name val="B Nazanin"/>
      <charset val="178"/>
    </font>
    <font>
      <sz val="20"/>
      <color indexed="8"/>
      <name val="B Nazanin"/>
      <charset val="178"/>
    </font>
    <font>
      <sz val="9"/>
      <color indexed="81"/>
      <name val="Tahoma"/>
      <family val="2"/>
    </font>
    <font>
      <b/>
      <sz val="12"/>
      <color theme="1"/>
      <name val="B Nazanin"/>
      <charset val="178"/>
    </font>
    <font>
      <sz val="12"/>
      <color theme="1"/>
      <name val="B Nazanin"/>
      <charset val="178"/>
    </font>
    <font>
      <b/>
      <sz val="11"/>
      <color theme="1"/>
      <name val="Calibri"/>
      <family val="2"/>
      <charset val="178"/>
      <scheme val="minor"/>
    </font>
    <font>
      <b/>
      <sz val="14"/>
      <color theme="1"/>
      <name val="B Nazanin"/>
      <charset val="178"/>
    </font>
    <font>
      <sz val="14"/>
      <color theme="1"/>
      <name val="B Nazanin"/>
      <charset val="178"/>
    </font>
    <font>
      <b/>
      <sz val="14"/>
      <name val="B Nazanin"/>
      <charset val="178"/>
    </font>
    <font>
      <sz val="14"/>
      <name val="Arial"/>
      <family val="2"/>
    </font>
    <font>
      <sz val="14"/>
      <name val="Titr"/>
      <charset val="178"/>
    </font>
    <font>
      <sz val="16"/>
      <color theme="1"/>
      <name val="B Nazanin"/>
      <charset val="178"/>
    </font>
    <font>
      <sz val="17"/>
      <name val="B Nazanin"/>
      <charset val="178"/>
    </font>
    <font>
      <sz val="18"/>
      <name val="Titr"/>
      <charset val="178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ECC5"/>
        <bgColor indexed="64"/>
      </patternFill>
    </fill>
    <fill>
      <patternFill patternType="solid">
        <fgColor rgb="FFFFE393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FFD85B"/>
        <bgColor indexed="64"/>
      </patternFill>
    </fill>
    <fill>
      <patternFill patternType="solid">
        <fgColor rgb="FFFFCC29"/>
        <bgColor indexed="64"/>
      </patternFill>
    </fill>
    <fill>
      <patternFill patternType="solid">
        <fgColor rgb="FFFFD347"/>
        <bgColor indexed="64"/>
      </patternFill>
    </fill>
    <fill>
      <patternFill patternType="solid">
        <fgColor rgb="FFFFC409"/>
        <bgColor indexed="64"/>
      </patternFill>
    </fill>
    <fill>
      <patternFill patternType="solid">
        <fgColor rgb="FFF2B800"/>
        <bgColor indexed="64"/>
      </patternFill>
    </fill>
    <fill>
      <patternFill patternType="solid">
        <fgColor rgb="FFFFC819"/>
        <bgColor indexed="64"/>
      </patternFill>
    </fill>
    <fill>
      <patternFill patternType="solid">
        <fgColor rgb="FFF6BB00"/>
        <bgColor indexed="64"/>
      </patternFill>
    </fill>
    <fill>
      <patternFill patternType="solid">
        <fgColor rgb="FFFFB115"/>
        <bgColor indexed="64"/>
      </patternFill>
    </fill>
    <fill>
      <patternFill patternType="solid">
        <fgColor rgb="FFFF8021"/>
        <bgColor indexed="64"/>
      </patternFill>
    </fill>
    <fill>
      <patternFill patternType="solid">
        <fgColor rgb="FFFFAC33"/>
        <bgColor indexed="64"/>
      </patternFill>
    </fill>
    <fill>
      <patternFill patternType="solid">
        <fgColor rgb="FFFF984B"/>
        <bgColor indexed="64"/>
      </patternFill>
    </fill>
    <fill>
      <patternFill patternType="solid">
        <fgColor rgb="FFFFBF4B"/>
        <bgColor indexed="64"/>
      </patternFill>
    </fill>
    <fill>
      <patternFill patternType="solid">
        <fgColor rgb="FFFFA829"/>
        <bgColor indexed="64"/>
      </patternFill>
    </fill>
    <fill>
      <patternFill patternType="solid">
        <fgColor rgb="FFE2A700"/>
        <bgColor indexed="64"/>
      </patternFill>
    </fill>
    <fill>
      <patternFill patternType="solid">
        <fgColor rgb="FFFF9F3F"/>
        <bgColor indexed="64"/>
      </patternFill>
    </fill>
    <fill>
      <patternFill patternType="solid">
        <fgColor rgb="FFFFCD2D"/>
        <bgColor indexed="64"/>
      </patternFill>
    </fill>
    <fill>
      <patternFill patternType="solid">
        <fgColor rgb="FFFF9647"/>
        <bgColor indexed="64"/>
      </patternFill>
    </fill>
    <fill>
      <patternFill patternType="solid">
        <fgColor rgb="FFFF8F3B"/>
        <bgColor indexed="64"/>
      </patternFill>
    </fill>
    <fill>
      <patternFill patternType="solid">
        <fgColor rgb="FFDEA400"/>
        <bgColor indexed="64"/>
      </patternFill>
    </fill>
    <fill>
      <patternFill patternType="solid">
        <fgColor rgb="FFEE770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0" fontId="8" fillId="0" borderId="0"/>
    <xf numFmtId="0" fontId="9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443">
    <xf numFmtId="0" fontId="0" fillId="0" borderId="0" xfId="0"/>
    <xf numFmtId="0" fontId="0" fillId="2" borderId="0" xfId="0" applyFill="1"/>
    <xf numFmtId="0" fontId="3" fillId="3" borderId="0" xfId="0" applyFont="1" applyFill="1"/>
    <xf numFmtId="0" fontId="3" fillId="3" borderId="0" xfId="0" applyFont="1" applyFill="1" applyAlignment="1">
      <alignment vertical="center"/>
    </xf>
    <xf numFmtId="3" fontId="3" fillId="5" borderId="9" xfId="0" applyNumberFormat="1" applyFont="1" applyFill="1" applyBorder="1" applyAlignment="1">
      <alignment horizontal="center" vertical="center"/>
    </xf>
    <xf numFmtId="3" fontId="3" fillId="5" borderId="16" xfId="0" applyNumberFormat="1" applyFont="1" applyFill="1" applyBorder="1" applyAlignment="1">
      <alignment horizontal="center" vertical="center"/>
    </xf>
    <xf numFmtId="0" fontId="2" fillId="3" borderId="0" xfId="0" applyFont="1" applyFill="1"/>
    <xf numFmtId="3" fontId="3" fillId="8" borderId="21" xfId="0" applyNumberFormat="1" applyFont="1" applyFill="1" applyBorder="1" applyAlignment="1">
      <alignment horizontal="center" vertical="center"/>
    </xf>
    <xf numFmtId="0" fontId="5" fillId="9" borderId="22" xfId="0" applyNumberFormat="1" applyFont="1" applyFill="1" applyBorder="1" applyAlignment="1">
      <alignment horizontal="center" vertical="center"/>
    </xf>
    <xf numFmtId="0" fontId="2" fillId="5" borderId="24" xfId="0" applyNumberFormat="1" applyFont="1" applyFill="1" applyBorder="1" applyAlignment="1">
      <alignment vertical="center"/>
    </xf>
    <xf numFmtId="0" fontId="2" fillId="6" borderId="25" xfId="0" applyNumberFormat="1" applyFont="1" applyFill="1" applyBorder="1" applyAlignment="1">
      <alignment vertical="center"/>
    </xf>
    <xf numFmtId="3" fontId="2" fillId="4" borderId="2" xfId="0" applyNumberFormat="1" applyFont="1" applyFill="1" applyBorder="1" applyAlignment="1">
      <alignment horizontal="right" vertical="center"/>
    </xf>
    <xf numFmtId="0" fontId="2" fillId="7" borderId="26" xfId="0" applyNumberFormat="1" applyFont="1" applyFill="1" applyBorder="1" applyAlignment="1">
      <alignment vertical="center"/>
    </xf>
    <xf numFmtId="0" fontId="2" fillId="8" borderId="27" xfId="0" applyNumberFormat="1" applyFont="1" applyFill="1" applyBorder="1" applyAlignment="1">
      <alignment vertical="center"/>
    </xf>
    <xf numFmtId="0" fontId="2" fillId="5" borderId="28" xfId="0" applyNumberFormat="1" applyFont="1" applyFill="1" applyBorder="1" applyAlignment="1">
      <alignment horizontal="center" vertical="center"/>
    </xf>
    <xf numFmtId="0" fontId="2" fillId="6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2" fillId="7" borderId="28" xfId="0" applyNumberFormat="1" applyFont="1" applyFill="1" applyBorder="1" applyAlignment="1">
      <alignment horizontal="center" vertical="center"/>
    </xf>
    <xf numFmtId="0" fontId="2" fillId="8" borderId="29" xfId="0" applyNumberFormat="1" applyFont="1" applyFill="1" applyBorder="1" applyAlignment="1">
      <alignment horizontal="center" vertical="center"/>
    </xf>
    <xf numFmtId="0" fontId="6" fillId="9" borderId="29" xfId="0" applyNumberFormat="1" applyFont="1" applyFill="1" applyBorder="1" applyAlignment="1">
      <alignment horizontal="center" vertical="center"/>
    </xf>
    <xf numFmtId="0" fontId="6" fillId="9" borderId="30" xfId="0" applyNumberFormat="1" applyFont="1" applyFill="1" applyBorder="1" applyAlignment="1">
      <alignment horizontal="center" vertical="center"/>
    </xf>
    <xf numFmtId="0" fontId="6" fillId="9" borderId="3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6" fillId="9" borderId="32" xfId="0" applyNumberFormat="1" applyFont="1" applyFill="1" applyBorder="1" applyAlignment="1">
      <alignment horizontal="right" vertical="center"/>
    </xf>
    <xf numFmtId="3" fontId="2" fillId="4" borderId="2" xfId="0" applyNumberFormat="1" applyFont="1" applyFill="1" applyBorder="1" applyAlignment="1">
      <alignment horizontal="center" vertical="center"/>
    </xf>
    <xf numFmtId="0" fontId="2" fillId="5" borderId="0" xfId="0" applyNumberFormat="1" applyFont="1" applyFill="1" applyBorder="1" applyAlignment="1">
      <alignment horizontal="right" vertical="center"/>
    </xf>
    <xf numFmtId="0" fontId="2" fillId="6" borderId="3" xfId="0" applyNumberFormat="1" applyFont="1" applyFill="1" applyBorder="1" applyAlignment="1">
      <alignment horizontal="right" vertical="center"/>
    </xf>
    <xf numFmtId="0" fontId="2" fillId="7" borderId="0" xfId="0" applyNumberFormat="1" applyFont="1" applyFill="1" applyBorder="1" applyAlignment="1">
      <alignment horizontal="right" vertical="center"/>
    </xf>
    <xf numFmtId="0" fontId="2" fillId="8" borderId="32" xfId="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horizontal="right"/>
    </xf>
    <xf numFmtId="0" fontId="2" fillId="5" borderId="33" xfId="0" applyNumberFormat="1" applyFont="1" applyFill="1" applyBorder="1" applyAlignment="1">
      <alignment horizontal="center" vertical="center"/>
    </xf>
    <xf numFmtId="0" fontId="2" fillId="6" borderId="2" xfId="0" applyNumberFormat="1" applyFont="1" applyFill="1" applyBorder="1" applyAlignment="1">
      <alignment horizontal="center" vertical="center"/>
    </xf>
    <xf numFmtId="0" fontId="2" fillId="7" borderId="33" xfId="0" applyNumberFormat="1" applyFont="1" applyFill="1" applyBorder="1" applyAlignment="1">
      <alignment horizontal="center" vertical="center"/>
    </xf>
    <xf numFmtId="0" fontId="2" fillId="8" borderId="20" xfId="0" applyNumberFormat="1" applyFont="1" applyFill="1" applyBorder="1" applyAlignment="1">
      <alignment horizontal="center" vertical="center"/>
    </xf>
    <xf numFmtId="0" fontId="3" fillId="5" borderId="33" xfId="0" applyNumberFormat="1" applyFont="1" applyFill="1" applyBorder="1" applyAlignment="1">
      <alignment horizontal="center" vertical="center"/>
    </xf>
    <xf numFmtId="0" fontId="5" fillId="9" borderId="29" xfId="0" applyNumberFormat="1" applyFont="1" applyFill="1" applyBorder="1" applyAlignment="1">
      <alignment horizontal="center" vertical="center"/>
    </xf>
    <xf numFmtId="0" fontId="6" fillId="10" borderId="41" xfId="0" applyNumberFormat="1" applyFont="1" applyFill="1" applyBorder="1" applyAlignment="1">
      <alignment horizontal="center" vertical="center"/>
    </xf>
    <xf numFmtId="0" fontId="6" fillId="10" borderId="13" xfId="0" applyNumberFormat="1" applyFont="1" applyFill="1" applyBorder="1" applyAlignment="1">
      <alignment horizontal="center" vertical="center"/>
    </xf>
    <xf numFmtId="0" fontId="6" fillId="10" borderId="15" xfId="0" applyNumberFormat="1" applyFont="1" applyFill="1" applyBorder="1" applyAlignment="1">
      <alignment horizontal="center" vertical="center"/>
    </xf>
    <xf numFmtId="0" fontId="2" fillId="3" borderId="0" xfId="1" applyFont="1" applyFill="1"/>
    <xf numFmtId="0" fontId="3" fillId="3" borderId="0" xfId="1" applyFont="1" applyFill="1"/>
    <xf numFmtId="0" fontId="10" fillId="0" borderId="0" xfId="0" applyFont="1" applyFill="1"/>
    <xf numFmtId="0" fontId="7" fillId="13" borderId="48" xfId="2" applyFont="1" applyFill="1" applyBorder="1" applyAlignment="1">
      <alignment horizontal="center"/>
    </xf>
    <xf numFmtId="0" fontId="7" fillId="14" borderId="48" xfId="2" applyFont="1" applyFill="1" applyBorder="1" applyAlignment="1">
      <alignment horizontal="center"/>
    </xf>
    <xf numFmtId="0" fontId="7" fillId="7" borderId="48" xfId="2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1" fillId="12" borderId="12" xfId="0" applyFont="1" applyFill="1" applyBorder="1" applyAlignment="1">
      <alignment horizontal="center" vertical="center"/>
    </xf>
    <xf numFmtId="0" fontId="12" fillId="12" borderId="12" xfId="0" applyFont="1" applyFill="1" applyBorder="1" applyAlignment="1">
      <alignment horizontal="center" vertical="center"/>
    </xf>
    <xf numFmtId="0" fontId="6" fillId="10" borderId="14" xfId="0" applyNumberFormat="1" applyFont="1" applyFill="1" applyBorder="1" applyAlignment="1">
      <alignment horizontal="right" vertical="center"/>
    </xf>
    <xf numFmtId="0" fontId="6" fillId="10" borderId="51" xfId="0" applyNumberFormat="1" applyFont="1" applyFill="1" applyBorder="1" applyAlignment="1">
      <alignment horizontal="center" vertical="center"/>
    </xf>
    <xf numFmtId="0" fontId="2" fillId="5" borderId="7" xfId="0" applyNumberFormat="1" applyFont="1" applyFill="1" applyBorder="1" applyAlignment="1">
      <alignment horizontal="right" vertical="center"/>
    </xf>
    <xf numFmtId="0" fontId="2" fillId="6" borderId="52" xfId="0" applyNumberFormat="1" applyFont="1" applyFill="1" applyBorder="1" applyAlignment="1">
      <alignment horizontal="right" vertical="center"/>
    </xf>
    <xf numFmtId="3" fontId="2" fillId="4" borderId="52" xfId="0" applyNumberFormat="1" applyFont="1" applyFill="1" applyBorder="1" applyAlignment="1">
      <alignment horizontal="right" vertical="center"/>
    </xf>
    <xf numFmtId="0" fontId="2" fillId="7" borderId="7" xfId="0" applyNumberFormat="1" applyFont="1" applyFill="1" applyBorder="1" applyAlignment="1">
      <alignment horizontal="right" vertical="center"/>
    </xf>
    <xf numFmtId="0" fontId="2" fillId="8" borderId="22" xfId="0" applyNumberFormat="1" applyFont="1" applyFill="1" applyBorder="1" applyAlignment="1">
      <alignment horizontal="right" vertical="center"/>
    </xf>
    <xf numFmtId="3" fontId="3" fillId="3" borderId="0" xfId="0" applyNumberFormat="1" applyFont="1" applyFill="1"/>
    <xf numFmtId="3" fontId="2" fillId="5" borderId="9" xfId="0" applyNumberFormat="1" applyFont="1" applyFill="1" applyBorder="1" applyAlignment="1">
      <alignment horizontal="center" vertical="center"/>
    </xf>
    <xf numFmtId="3" fontId="2" fillId="5" borderId="23" xfId="0" applyNumberFormat="1" applyFont="1" applyFill="1" applyBorder="1" applyAlignment="1">
      <alignment horizontal="center" vertical="center"/>
    </xf>
    <xf numFmtId="3" fontId="2" fillId="6" borderId="2" xfId="0" applyNumberFormat="1" applyFont="1" applyFill="1" applyBorder="1" applyAlignment="1">
      <alignment horizontal="center" vertical="center"/>
    </xf>
    <xf numFmtId="3" fontId="2" fillId="6" borderId="17" xfId="0" applyNumberFormat="1" applyFont="1" applyFill="1" applyBorder="1" applyAlignment="1">
      <alignment horizontal="center" vertical="center"/>
    </xf>
    <xf numFmtId="3" fontId="2" fillId="4" borderId="17" xfId="0" applyNumberFormat="1" applyFont="1" applyFill="1" applyBorder="1" applyAlignment="1">
      <alignment horizontal="center" vertical="center"/>
    </xf>
    <xf numFmtId="3" fontId="2" fillId="7" borderId="18" xfId="0" applyNumberFormat="1" applyFont="1" applyFill="1" applyBorder="1" applyAlignment="1">
      <alignment horizontal="center" vertical="center"/>
    </xf>
    <xf numFmtId="3" fontId="2" fillId="7" borderId="19" xfId="0" applyNumberFormat="1" applyFont="1" applyFill="1" applyBorder="1" applyAlignment="1">
      <alignment horizontal="center" vertical="center"/>
    </xf>
    <xf numFmtId="3" fontId="2" fillId="8" borderId="20" xfId="0" applyNumberFormat="1" applyFont="1" applyFill="1" applyBorder="1" applyAlignment="1">
      <alignment horizontal="center" vertical="center"/>
    </xf>
    <xf numFmtId="3" fontId="2" fillId="8" borderId="2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5" borderId="53" xfId="0" applyNumberFormat="1" applyFont="1" applyFill="1" applyBorder="1" applyAlignment="1">
      <alignment horizontal="right" vertical="center"/>
    </xf>
    <xf numFmtId="3" fontId="2" fillId="5" borderId="37" xfId="0" applyNumberFormat="1" applyFont="1" applyFill="1" applyBorder="1" applyAlignment="1">
      <alignment horizontal="center" vertical="center"/>
    </xf>
    <xf numFmtId="3" fontId="2" fillId="5" borderId="54" xfId="0" applyNumberFormat="1" applyFont="1" applyFill="1" applyBorder="1" applyAlignment="1">
      <alignment horizontal="center" vertical="center"/>
    </xf>
    <xf numFmtId="0" fontId="2" fillId="6" borderId="55" xfId="0" applyNumberFormat="1" applyFont="1" applyFill="1" applyBorder="1" applyAlignment="1">
      <alignment horizontal="right" vertical="center"/>
    </xf>
    <xf numFmtId="3" fontId="2" fillId="6" borderId="1" xfId="0" applyNumberFormat="1" applyFont="1" applyFill="1" applyBorder="1" applyAlignment="1">
      <alignment horizontal="center" vertical="center"/>
    </xf>
    <xf numFmtId="3" fontId="2" fillId="4" borderId="55" xfId="0" applyNumberFormat="1" applyFont="1" applyFill="1" applyBorder="1" applyAlignment="1">
      <alignment horizontal="right" vertical="center"/>
    </xf>
    <xf numFmtId="165" fontId="2" fillId="4" borderId="1" xfId="0" applyNumberFormat="1" applyFont="1" applyFill="1" applyBorder="1" applyAlignment="1">
      <alignment horizontal="center" vertical="center"/>
    </xf>
    <xf numFmtId="0" fontId="2" fillId="7" borderId="53" xfId="0" applyNumberFormat="1" applyFont="1" applyFill="1" applyBorder="1" applyAlignment="1">
      <alignment horizontal="right" vertical="center"/>
    </xf>
    <xf numFmtId="3" fontId="2" fillId="7" borderId="34" xfId="0" applyNumberFormat="1" applyFont="1" applyFill="1" applyBorder="1" applyAlignment="1">
      <alignment horizontal="center" vertical="center"/>
    </xf>
    <xf numFmtId="0" fontId="2" fillId="8" borderId="38" xfId="0" applyNumberFormat="1" applyFont="1" applyFill="1" applyBorder="1" applyAlignment="1">
      <alignment horizontal="right" vertical="center"/>
    </xf>
    <xf numFmtId="3" fontId="2" fillId="8" borderId="29" xfId="0" applyNumberFormat="1" applyFont="1" applyFill="1" applyBorder="1" applyAlignment="1">
      <alignment horizontal="center" vertical="center"/>
    </xf>
    <xf numFmtId="3" fontId="2" fillId="5" borderId="28" xfId="0" applyNumberFormat="1" applyFont="1" applyFill="1" applyBorder="1" applyAlignment="1">
      <alignment horizontal="center" vertical="center"/>
    </xf>
    <xf numFmtId="3" fontId="2" fillId="7" borderId="28" xfId="0" applyNumberFormat="1" applyFont="1" applyFill="1" applyBorder="1" applyAlignment="1">
      <alignment horizontal="center" vertical="center"/>
    </xf>
    <xf numFmtId="166" fontId="2" fillId="5" borderId="28" xfId="3" applyNumberFormat="1" applyFont="1" applyFill="1" applyBorder="1" applyAlignment="1">
      <alignment horizontal="center" vertical="center"/>
    </xf>
    <xf numFmtId="166" fontId="2" fillId="6" borderId="1" xfId="3" applyNumberFormat="1" applyFont="1" applyFill="1" applyBorder="1" applyAlignment="1">
      <alignment horizontal="center" vertical="center"/>
    </xf>
    <xf numFmtId="166" fontId="2" fillId="4" borderId="1" xfId="3" applyNumberFormat="1" applyFont="1" applyFill="1" applyBorder="1" applyAlignment="1">
      <alignment horizontal="center" vertical="center"/>
    </xf>
    <xf numFmtId="166" fontId="2" fillId="7" borderId="28" xfId="3" applyNumberFormat="1" applyFont="1" applyFill="1" applyBorder="1" applyAlignment="1">
      <alignment horizontal="center" vertical="center"/>
    </xf>
    <xf numFmtId="166" fontId="2" fillId="8" borderId="29" xfId="3" applyNumberFormat="1" applyFont="1" applyFill="1" applyBorder="1" applyAlignment="1">
      <alignment horizontal="center" vertical="center"/>
    </xf>
    <xf numFmtId="0" fontId="5" fillId="9" borderId="38" xfId="0" applyNumberFormat="1" applyFont="1" applyFill="1" applyBorder="1" applyAlignment="1">
      <alignment horizontal="right" vertical="center"/>
    </xf>
    <xf numFmtId="0" fontId="5" fillId="9" borderId="21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3" fontId="2" fillId="8" borderId="36" xfId="0" applyNumberFormat="1" applyFont="1" applyFill="1" applyBorder="1" applyAlignment="1">
      <alignment horizontal="center" vertical="center"/>
    </xf>
    <xf numFmtId="3" fontId="4" fillId="3" borderId="12" xfId="0" applyNumberFormat="1" applyFont="1" applyFill="1" applyBorder="1" applyAlignment="1">
      <alignment vertical="center"/>
    </xf>
    <xf numFmtId="3" fontId="3" fillId="5" borderId="10" xfId="0" applyNumberFormat="1" applyFont="1" applyFill="1" applyBorder="1" applyAlignment="1">
      <alignment horizontal="center" vertical="center"/>
    </xf>
    <xf numFmtId="3" fontId="3" fillId="5" borderId="56" xfId="0" applyNumberFormat="1" applyFont="1" applyFill="1" applyBorder="1" applyAlignment="1">
      <alignment horizontal="center" vertical="center"/>
    </xf>
    <xf numFmtId="0" fontId="3" fillId="5" borderId="7" xfId="0" applyNumberFormat="1" applyFont="1" applyFill="1" applyBorder="1" applyAlignment="1">
      <alignment horizontal="center" vertical="center"/>
    </xf>
    <xf numFmtId="3" fontId="2" fillId="6" borderId="52" xfId="0" applyNumberFormat="1" applyFont="1" applyFill="1" applyBorder="1" applyAlignment="1">
      <alignment horizontal="center" vertical="center"/>
    </xf>
    <xf numFmtId="9" fontId="2" fillId="4" borderId="52" xfId="4" applyFont="1" applyFill="1" applyBorder="1" applyAlignment="1">
      <alignment horizontal="center" vertical="center"/>
    </xf>
    <xf numFmtId="9" fontId="2" fillId="4" borderId="2" xfId="4" applyFont="1" applyFill="1" applyBorder="1" applyAlignment="1">
      <alignment horizontal="center" vertical="center"/>
    </xf>
    <xf numFmtId="3" fontId="2" fillId="6" borderId="3" xfId="0" applyNumberFormat="1" applyFont="1" applyFill="1" applyBorder="1" applyAlignment="1">
      <alignment horizontal="center" vertical="center"/>
    </xf>
    <xf numFmtId="9" fontId="2" fillId="4" borderId="17" xfId="4" applyFont="1" applyFill="1" applyBorder="1" applyAlignment="1">
      <alignment horizontal="center" vertical="center"/>
    </xf>
    <xf numFmtId="9" fontId="2" fillId="4" borderId="3" xfId="4" applyFont="1" applyFill="1" applyBorder="1" applyAlignment="1">
      <alignment horizontal="center" vertical="center"/>
    </xf>
    <xf numFmtId="0" fontId="5" fillId="10" borderId="13" xfId="0" applyNumberFormat="1" applyFont="1" applyFill="1" applyBorder="1" applyAlignment="1">
      <alignment horizontal="right" vertical="center"/>
    </xf>
    <xf numFmtId="0" fontId="4" fillId="5" borderId="0" xfId="0" applyNumberFormat="1" applyFont="1" applyFill="1" applyBorder="1" applyAlignment="1">
      <alignment horizontal="right" vertical="center"/>
    </xf>
    <xf numFmtId="0" fontId="4" fillId="6" borderId="3" xfId="0" applyNumberFormat="1" applyFont="1" applyFill="1" applyBorder="1" applyAlignment="1">
      <alignment horizontal="right" vertical="center"/>
    </xf>
    <xf numFmtId="3" fontId="4" fillId="4" borderId="2" xfId="0" applyNumberFormat="1" applyFont="1" applyFill="1" applyBorder="1" applyAlignment="1">
      <alignment horizontal="right" vertical="center"/>
    </xf>
    <xf numFmtId="0" fontId="4" fillId="7" borderId="0" xfId="0" applyNumberFormat="1" applyFont="1" applyFill="1" applyBorder="1" applyAlignment="1">
      <alignment horizontal="right" vertical="center"/>
    </xf>
    <xf numFmtId="0" fontId="4" fillId="8" borderId="32" xfId="0" applyNumberFormat="1" applyFont="1" applyFill="1" applyBorder="1" applyAlignment="1">
      <alignment horizontal="right" vertical="center"/>
    </xf>
    <xf numFmtId="166" fontId="3" fillId="3" borderId="0" xfId="0" applyNumberFormat="1" applyFont="1" applyFill="1"/>
    <xf numFmtId="3" fontId="2" fillId="7" borderId="33" xfId="0" applyNumberFormat="1" applyFont="1" applyFill="1" applyBorder="1" applyAlignment="1">
      <alignment horizontal="center" vertical="center"/>
    </xf>
    <xf numFmtId="3" fontId="2" fillId="5" borderId="33" xfId="0" applyNumberFormat="1" applyFont="1" applyFill="1" applyBorder="1" applyAlignment="1">
      <alignment horizontal="center" vertical="center"/>
    </xf>
    <xf numFmtId="3" fontId="2" fillId="5" borderId="16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right"/>
    </xf>
    <xf numFmtId="3" fontId="2" fillId="3" borderId="0" xfId="0" applyNumberFormat="1" applyFont="1" applyFill="1" applyAlignment="1">
      <alignment horizontal="center" vertical="center"/>
    </xf>
    <xf numFmtId="9" fontId="2" fillId="3" borderId="0" xfId="0" applyNumberFormat="1" applyFont="1" applyFill="1" applyAlignment="1">
      <alignment horizontal="center"/>
    </xf>
    <xf numFmtId="164" fontId="3" fillId="3" borderId="0" xfId="0" applyNumberFormat="1" applyFont="1" applyFill="1"/>
    <xf numFmtId="167" fontId="2" fillId="3" borderId="0" xfId="3" applyNumberFormat="1" applyFont="1" applyFill="1" applyAlignment="1">
      <alignment horizontal="center"/>
    </xf>
    <xf numFmtId="0" fontId="6" fillId="10" borderId="38" xfId="0" applyNumberFormat="1" applyFont="1" applyFill="1" applyBorder="1" applyAlignment="1">
      <alignment horizontal="right" vertical="center"/>
    </xf>
    <xf numFmtId="166" fontId="2" fillId="12" borderId="20" xfId="3" applyNumberFormat="1" applyFont="1" applyFill="1" applyBorder="1" applyAlignment="1">
      <alignment horizontal="center" vertical="center"/>
    </xf>
    <xf numFmtId="166" fontId="2" fillId="12" borderId="21" xfId="3" applyNumberFormat="1" applyFont="1" applyFill="1" applyBorder="1" applyAlignment="1">
      <alignment horizontal="center" vertical="center"/>
    </xf>
    <xf numFmtId="166" fontId="2" fillId="12" borderId="20" xfId="3" applyNumberFormat="1" applyFont="1" applyFill="1" applyBorder="1" applyAlignment="1">
      <alignment horizontal="right" vertical="center"/>
    </xf>
    <xf numFmtId="0" fontId="2" fillId="15" borderId="58" xfId="0" applyFont="1" applyFill="1" applyBorder="1" applyAlignment="1">
      <alignment horizontal="right"/>
    </xf>
    <xf numFmtId="9" fontId="2" fillId="15" borderId="1" xfId="4" applyNumberFormat="1" applyFont="1" applyFill="1" applyBorder="1" applyAlignment="1">
      <alignment horizontal="center" vertical="center"/>
    </xf>
    <xf numFmtId="3" fontId="2" fillId="15" borderId="54" xfId="0" applyNumberFormat="1" applyFont="1" applyFill="1" applyBorder="1" applyAlignment="1">
      <alignment horizontal="center" vertical="center"/>
    </xf>
    <xf numFmtId="3" fontId="2" fillId="15" borderId="23" xfId="0" applyNumberFormat="1" applyFont="1" applyFill="1" applyBorder="1" applyAlignment="1">
      <alignment horizontal="center" vertical="center"/>
    </xf>
    <xf numFmtId="9" fontId="2" fillId="16" borderId="1" xfId="4" applyNumberFormat="1" applyFont="1" applyFill="1" applyBorder="1" applyAlignment="1">
      <alignment horizontal="center" vertical="center"/>
    </xf>
    <xf numFmtId="0" fontId="2" fillId="15" borderId="55" xfId="0" applyFont="1" applyFill="1" applyBorder="1" applyAlignment="1">
      <alignment horizontal="right"/>
    </xf>
    <xf numFmtId="3" fontId="2" fillId="15" borderId="1" xfId="0" applyNumberFormat="1" applyFont="1" applyFill="1" applyBorder="1" applyAlignment="1">
      <alignment horizontal="center" vertical="center"/>
    </xf>
    <xf numFmtId="3" fontId="2" fillId="15" borderId="17" xfId="0" applyNumberFormat="1" applyFont="1" applyFill="1" applyBorder="1" applyAlignment="1">
      <alignment horizontal="center" vertical="center"/>
    </xf>
    <xf numFmtId="0" fontId="2" fillId="16" borderId="55" xfId="0" applyFont="1" applyFill="1" applyBorder="1" applyAlignment="1">
      <alignment horizontal="right"/>
    </xf>
    <xf numFmtId="3" fontId="2" fillId="16" borderId="1" xfId="0" applyNumberFormat="1" applyFont="1" applyFill="1" applyBorder="1" applyAlignment="1">
      <alignment horizontal="center" vertical="center"/>
    </xf>
    <xf numFmtId="3" fontId="2" fillId="16" borderId="17" xfId="0" applyNumberFormat="1" applyFont="1" applyFill="1" applyBorder="1" applyAlignment="1">
      <alignment horizontal="center" vertical="center"/>
    </xf>
    <xf numFmtId="0" fontId="2" fillId="17" borderId="60" xfId="0" applyFont="1" applyFill="1" applyBorder="1" applyAlignment="1">
      <alignment horizontal="right"/>
    </xf>
    <xf numFmtId="3" fontId="2" fillId="17" borderId="61" xfId="0" applyNumberFormat="1" applyFont="1" applyFill="1" applyBorder="1" applyAlignment="1">
      <alignment horizontal="center" vertical="center"/>
    </xf>
    <xf numFmtId="3" fontId="2" fillId="17" borderId="62" xfId="0" applyNumberFormat="1" applyFont="1" applyFill="1" applyBorder="1" applyAlignment="1">
      <alignment horizontal="center" vertical="center"/>
    </xf>
    <xf numFmtId="9" fontId="2" fillId="4" borderId="1" xfId="4" applyNumberFormat="1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right"/>
    </xf>
    <xf numFmtId="0" fontId="2" fillId="17" borderId="59" xfId="0" applyFont="1" applyFill="1" applyBorder="1" applyAlignment="1">
      <alignment horizontal="right"/>
    </xf>
    <xf numFmtId="9" fontId="2" fillId="17" borderId="34" xfId="4" applyNumberFormat="1" applyFont="1" applyFill="1" applyBorder="1" applyAlignment="1">
      <alignment horizontal="center" vertical="center"/>
    </xf>
    <xf numFmtId="3" fontId="2" fillId="17" borderId="34" xfId="0" applyNumberFormat="1" applyFont="1" applyFill="1" applyBorder="1" applyAlignment="1">
      <alignment horizontal="center" vertical="center"/>
    </xf>
    <xf numFmtId="3" fontId="2" fillId="17" borderId="19" xfId="0" applyNumberFormat="1" applyFont="1" applyFill="1" applyBorder="1" applyAlignment="1">
      <alignment horizontal="center" vertical="center"/>
    </xf>
    <xf numFmtId="9" fontId="2" fillId="17" borderId="61" xfId="4" applyNumberFormat="1" applyFont="1" applyFill="1" applyBorder="1" applyAlignment="1">
      <alignment horizontal="center" vertical="center"/>
    </xf>
    <xf numFmtId="0" fontId="2" fillId="9" borderId="63" xfId="0" applyFont="1" applyFill="1" applyBorder="1" applyAlignment="1">
      <alignment horizontal="right"/>
    </xf>
    <xf numFmtId="9" fontId="2" fillId="9" borderId="35" xfId="0" applyNumberFormat="1" applyFont="1" applyFill="1" applyBorder="1" applyAlignment="1">
      <alignment horizontal="center" vertical="center"/>
    </xf>
    <xf numFmtId="0" fontId="2" fillId="9" borderId="35" xfId="0" applyFont="1" applyFill="1" applyBorder="1" applyAlignment="1">
      <alignment horizontal="center"/>
    </xf>
    <xf numFmtId="0" fontId="2" fillId="9" borderId="36" xfId="0" applyFont="1" applyFill="1" applyBorder="1" applyAlignment="1">
      <alignment horizontal="center"/>
    </xf>
    <xf numFmtId="0" fontId="2" fillId="15" borderId="54" xfId="0" applyFont="1" applyFill="1" applyBorder="1" applyAlignment="1">
      <alignment horizontal="right"/>
    </xf>
    <xf numFmtId="0" fontId="2" fillId="16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17" borderId="61" xfId="0" applyFont="1" applyFill="1" applyBorder="1" applyAlignment="1">
      <alignment horizontal="right"/>
    </xf>
    <xf numFmtId="0" fontId="6" fillId="10" borderId="29" xfId="0" applyNumberFormat="1" applyFont="1" applyFill="1" applyBorder="1" applyAlignment="1">
      <alignment horizontal="center" vertical="center"/>
    </xf>
    <xf numFmtId="166" fontId="2" fillId="6" borderId="2" xfId="3" applyNumberFormat="1" applyFont="1" applyFill="1" applyBorder="1" applyAlignment="1">
      <alignment horizontal="center" vertical="center"/>
    </xf>
    <xf numFmtId="166" fontId="2" fillId="6" borderId="17" xfId="3" applyNumberFormat="1" applyFont="1" applyFill="1" applyBorder="1" applyAlignment="1">
      <alignment horizontal="center" vertical="center"/>
    </xf>
    <xf numFmtId="0" fontId="3" fillId="18" borderId="0" xfId="0" applyFont="1" applyFill="1" applyAlignment="1">
      <alignment vertical="center"/>
    </xf>
    <xf numFmtId="0" fontId="2" fillId="5" borderId="4" xfId="0" applyNumberFormat="1" applyFont="1" applyFill="1" applyBorder="1" applyAlignment="1">
      <alignment horizontal="right" vertical="center"/>
    </xf>
    <xf numFmtId="0" fontId="2" fillId="3" borderId="22" xfId="0" applyNumberFormat="1" applyFont="1" applyFill="1" applyBorder="1" applyAlignment="1">
      <alignment horizontal="right" vertical="center"/>
    </xf>
    <xf numFmtId="3" fontId="2" fillId="3" borderId="32" xfId="0" applyNumberFormat="1" applyFont="1" applyFill="1" applyBorder="1" applyAlignment="1">
      <alignment horizontal="center" vertical="center"/>
    </xf>
    <xf numFmtId="3" fontId="3" fillId="3" borderId="31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Alignment="1">
      <alignment vertical="center"/>
    </xf>
    <xf numFmtId="0" fontId="2" fillId="5" borderId="52" xfId="0" applyNumberFormat="1" applyFont="1" applyFill="1" applyBorder="1" applyAlignment="1">
      <alignment horizontal="right" vertical="center"/>
    </xf>
    <xf numFmtId="3" fontId="2" fillId="5" borderId="17" xfId="0" applyNumberFormat="1" applyFont="1" applyFill="1" applyBorder="1" applyAlignment="1">
      <alignment horizontal="center" vertical="center"/>
    </xf>
    <xf numFmtId="0" fontId="6" fillId="10" borderId="15" xfId="0" applyNumberFormat="1" applyFont="1" applyFill="1" applyBorder="1" applyAlignment="1">
      <alignment horizontal="center" vertical="center"/>
    </xf>
    <xf numFmtId="3" fontId="2" fillId="5" borderId="64" xfId="0" applyNumberFormat="1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0" fontId="2" fillId="4" borderId="52" xfId="0" applyNumberFormat="1" applyFont="1" applyFill="1" applyBorder="1" applyAlignment="1">
      <alignment horizontal="right" vertical="center"/>
    </xf>
    <xf numFmtId="3" fontId="2" fillId="17" borderId="1" xfId="0" applyNumberFormat="1" applyFont="1" applyFill="1" applyBorder="1" applyAlignment="1">
      <alignment horizontal="center" vertical="center"/>
    </xf>
    <xf numFmtId="0" fontId="2" fillId="16" borderId="52" xfId="0" applyNumberFormat="1" applyFont="1" applyFill="1" applyBorder="1" applyAlignment="1">
      <alignment horizontal="right" vertical="center"/>
    </xf>
    <xf numFmtId="3" fontId="2" fillId="16" borderId="2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17" borderId="17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0" fontId="6" fillId="3" borderId="14" xfId="0" applyNumberFormat="1" applyFont="1" applyFill="1" applyBorder="1" applyAlignment="1">
      <alignment horizontal="right" vertical="center"/>
    </xf>
    <xf numFmtId="0" fontId="6" fillId="3" borderId="41" xfId="0" applyNumberFormat="1" applyFont="1" applyFill="1" applyBorder="1" applyAlignment="1">
      <alignment horizontal="center" vertical="center"/>
    </xf>
    <xf numFmtId="0" fontId="6" fillId="3" borderId="29" xfId="0" applyNumberFormat="1" applyFont="1" applyFill="1" applyBorder="1" applyAlignment="1">
      <alignment horizontal="center" vertical="center"/>
    </xf>
    <xf numFmtId="0" fontId="6" fillId="3" borderId="15" xfId="0" applyNumberFormat="1" applyFont="1" applyFill="1" applyBorder="1" applyAlignment="1">
      <alignment horizontal="center" vertical="center"/>
    </xf>
    <xf numFmtId="0" fontId="2" fillId="18" borderId="52" xfId="0" applyNumberFormat="1" applyFont="1" applyFill="1" applyBorder="1" applyAlignment="1">
      <alignment horizontal="right" vertical="center"/>
    </xf>
    <xf numFmtId="3" fontId="2" fillId="18" borderId="3" xfId="0" applyNumberFormat="1" applyFont="1" applyFill="1" applyBorder="1" applyAlignment="1">
      <alignment horizontal="center" vertical="center"/>
    </xf>
    <xf numFmtId="3" fontId="2" fillId="18" borderId="65" xfId="0" applyNumberFormat="1" applyFont="1" applyFill="1" applyBorder="1" applyAlignment="1">
      <alignment horizontal="center" vertical="center"/>
    </xf>
    <xf numFmtId="0" fontId="2" fillId="20" borderId="7" xfId="0" applyNumberFormat="1" applyFont="1" applyFill="1" applyBorder="1" applyAlignment="1">
      <alignment horizontal="right" vertical="center"/>
    </xf>
    <xf numFmtId="3" fontId="2" fillId="20" borderId="33" xfId="0" applyNumberFormat="1" applyFont="1" applyFill="1" applyBorder="1" applyAlignment="1">
      <alignment horizontal="center" vertical="center"/>
    </xf>
    <xf numFmtId="3" fontId="2" fillId="20" borderId="16" xfId="0" applyNumberFormat="1" applyFont="1" applyFill="1" applyBorder="1" applyAlignment="1">
      <alignment horizontal="center" vertical="center"/>
    </xf>
    <xf numFmtId="0" fontId="2" fillId="21" borderId="52" xfId="0" applyNumberFormat="1" applyFont="1" applyFill="1" applyBorder="1" applyAlignment="1">
      <alignment horizontal="right" vertical="center"/>
    </xf>
    <xf numFmtId="3" fontId="2" fillId="21" borderId="2" xfId="0" applyNumberFormat="1" applyFont="1" applyFill="1" applyBorder="1" applyAlignment="1">
      <alignment horizontal="center" vertical="center"/>
    </xf>
    <xf numFmtId="3" fontId="2" fillId="21" borderId="17" xfId="0" applyNumberFormat="1" applyFont="1" applyFill="1" applyBorder="1" applyAlignment="1">
      <alignment horizontal="center" vertical="center"/>
    </xf>
    <xf numFmtId="3" fontId="2" fillId="22" borderId="52" xfId="0" applyNumberFormat="1" applyFont="1" applyFill="1" applyBorder="1" applyAlignment="1">
      <alignment horizontal="right" vertical="center"/>
    </xf>
    <xf numFmtId="3" fontId="2" fillId="22" borderId="2" xfId="0" applyNumberFormat="1" applyFont="1" applyFill="1" applyBorder="1" applyAlignment="1">
      <alignment horizontal="center" vertical="center"/>
    </xf>
    <xf numFmtId="3" fontId="2" fillId="22" borderId="17" xfId="0" applyNumberFormat="1" applyFont="1" applyFill="1" applyBorder="1" applyAlignment="1">
      <alignment horizontal="center" vertical="center"/>
    </xf>
    <xf numFmtId="3" fontId="2" fillId="23" borderId="52" xfId="0" applyNumberFormat="1" applyFont="1" applyFill="1" applyBorder="1" applyAlignment="1">
      <alignment horizontal="right" vertical="center"/>
    </xf>
    <xf numFmtId="3" fontId="2" fillId="23" borderId="2" xfId="0" applyNumberFormat="1" applyFont="1" applyFill="1" applyBorder="1" applyAlignment="1">
      <alignment horizontal="center" vertical="center"/>
    </xf>
    <xf numFmtId="3" fontId="2" fillId="23" borderId="17" xfId="0" applyNumberFormat="1" applyFont="1" applyFill="1" applyBorder="1" applyAlignment="1">
      <alignment horizontal="center" vertical="center"/>
    </xf>
    <xf numFmtId="3" fontId="2" fillId="24" borderId="52" xfId="0" applyNumberFormat="1" applyFont="1" applyFill="1" applyBorder="1" applyAlignment="1">
      <alignment horizontal="right" vertical="center"/>
    </xf>
    <xf numFmtId="3" fontId="2" fillId="24" borderId="2" xfId="0" applyNumberFormat="1" applyFont="1" applyFill="1" applyBorder="1" applyAlignment="1">
      <alignment horizontal="center" vertical="center"/>
    </xf>
    <xf numFmtId="3" fontId="2" fillId="24" borderId="17" xfId="0" applyNumberFormat="1" applyFont="1" applyFill="1" applyBorder="1" applyAlignment="1">
      <alignment horizontal="center" vertical="center"/>
    </xf>
    <xf numFmtId="3" fontId="2" fillId="25" borderId="52" xfId="0" applyNumberFormat="1" applyFont="1" applyFill="1" applyBorder="1" applyAlignment="1">
      <alignment horizontal="right" vertical="center"/>
    </xf>
    <xf numFmtId="3" fontId="2" fillId="25" borderId="2" xfId="0" applyNumberFormat="1" applyFont="1" applyFill="1" applyBorder="1" applyAlignment="1">
      <alignment horizontal="center" vertical="center"/>
    </xf>
    <xf numFmtId="3" fontId="2" fillId="25" borderId="17" xfId="0" applyNumberFormat="1" applyFont="1" applyFill="1" applyBorder="1" applyAlignment="1">
      <alignment horizontal="center" vertical="center"/>
    </xf>
    <xf numFmtId="3" fontId="2" fillId="26" borderId="52" xfId="0" applyNumberFormat="1" applyFont="1" applyFill="1" applyBorder="1" applyAlignment="1">
      <alignment horizontal="right" vertical="center"/>
    </xf>
    <xf numFmtId="3" fontId="2" fillId="26" borderId="2" xfId="0" applyNumberFormat="1" applyFont="1" applyFill="1" applyBorder="1" applyAlignment="1">
      <alignment horizontal="center" vertical="center"/>
    </xf>
    <xf numFmtId="3" fontId="2" fillId="26" borderId="17" xfId="0" applyNumberFormat="1" applyFont="1" applyFill="1" applyBorder="1" applyAlignment="1">
      <alignment horizontal="center" vertical="center"/>
    </xf>
    <xf numFmtId="3" fontId="2" fillId="27" borderId="52" xfId="0" applyNumberFormat="1" applyFont="1" applyFill="1" applyBorder="1" applyAlignment="1">
      <alignment horizontal="right" vertical="center"/>
    </xf>
    <xf numFmtId="3" fontId="2" fillId="27" borderId="2" xfId="0" applyNumberFormat="1" applyFont="1" applyFill="1" applyBorder="1" applyAlignment="1">
      <alignment horizontal="center" vertical="center"/>
    </xf>
    <xf numFmtId="3" fontId="2" fillId="27" borderId="17" xfId="0" applyNumberFormat="1" applyFont="1" applyFill="1" applyBorder="1" applyAlignment="1">
      <alignment horizontal="center" vertical="center"/>
    </xf>
    <xf numFmtId="0" fontId="2" fillId="5" borderId="58" xfId="0" applyNumberFormat="1" applyFont="1" applyFill="1" applyBorder="1" applyAlignment="1">
      <alignment horizontal="right" vertical="center"/>
    </xf>
    <xf numFmtId="166" fontId="3" fillId="3" borderId="0" xfId="3" applyNumberFormat="1" applyFont="1" applyFill="1" applyAlignment="1">
      <alignment horizontal="center"/>
    </xf>
    <xf numFmtId="0" fontId="2" fillId="28" borderId="55" xfId="0" applyNumberFormat="1" applyFont="1" applyFill="1" applyBorder="1" applyAlignment="1">
      <alignment horizontal="right" vertical="center"/>
    </xf>
    <xf numFmtId="3" fontId="2" fillId="28" borderId="1" xfId="0" applyNumberFormat="1" applyFont="1" applyFill="1" applyBorder="1" applyAlignment="1">
      <alignment horizontal="center" vertical="center"/>
    </xf>
    <xf numFmtId="3" fontId="2" fillId="28" borderId="17" xfId="0" applyNumberFormat="1" applyFont="1" applyFill="1" applyBorder="1" applyAlignment="1">
      <alignment horizontal="center" vertical="center"/>
    </xf>
    <xf numFmtId="0" fontId="2" fillId="29" borderId="55" xfId="0" applyNumberFormat="1" applyFont="1" applyFill="1" applyBorder="1" applyAlignment="1">
      <alignment horizontal="right" vertical="center"/>
    </xf>
    <xf numFmtId="3" fontId="2" fillId="29" borderId="1" xfId="0" applyNumberFormat="1" applyFont="1" applyFill="1" applyBorder="1" applyAlignment="1">
      <alignment horizontal="center" vertical="center"/>
    </xf>
    <xf numFmtId="3" fontId="2" fillId="29" borderId="17" xfId="0" applyNumberFormat="1" applyFont="1" applyFill="1" applyBorder="1" applyAlignment="1">
      <alignment horizontal="center" vertical="center"/>
    </xf>
    <xf numFmtId="0" fontId="2" fillId="30" borderId="55" xfId="0" applyNumberFormat="1" applyFont="1" applyFill="1" applyBorder="1" applyAlignment="1">
      <alignment horizontal="right" vertical="center"/>
    </xf>
    <xf numFmtId="167" fontId="2" fillId="30" borderId="1" xfId="3" applyNumberFormat="1" applyFont="1" applyFill="1" applyBorder="1" applyAlignment="1">
      <alignment horizontal="center" vertical="center"/>
    </xf>
    <xf numFmtId="3" fontId="2" fillId="30" borderId="17" xfId="0" applyNumberFormat="1" applyFont="1" applyFill="1" applyBorder="1" applyAlignment="1">
      <alignment horizontal="center" vertical="center"/>
    </xf>
    <xf numFmtId="166" fontId="2" fillId="12" borderId="58" xfId="3" applyNumberFormat="1" applyFont="1" applyFill="1" applyBorder="1" applyAlignment="1">
      <alignment horizontal="right" vertical="center"/>
    </xf>
    <xf numFmtId="0" fontId="2" fillId="0" borderId="55" xfId="0" applyFont="1" applyFill="1" applyBorder="1" applyAlignment="1">
      <alignment horizontal="right" vertical="center"/>
    </xf>
    <xf numFmtId="0" fontId="2" fillId="17" borderId="55" xfId="0" applyFont="1" applyFill="1" applyBorder="1" applyAlignment="1">
      <alignment horizontal="right"/>
    </xf>
    <xf numFmtId="0" fontId="2" fillId="9" borderId="55" xfId="0" applyFont="1" applyFill="1" applyBorder="1" applyAlignment="1">
      <alignment horizontal="right"/>
    </xf>
    <xf numFmtId="166" fontId="2" fillId="9" borderId="1" xfId="3" applyNumberFormat="1" applyFont="1" applyFill="1" applyBorder="1" applyAlignment="1">
      <alignment horizontal="center"/>
    </xf>
    <xf numFmtId="166" fontId="2" fillId="9" borderId="17" xfId="3" applyNumberFormat="1" applyFont="1" applyFill="1" applyBorder="1" applyAlignment="1">
      <alignment horizontal="center"/>
    </xf>
    <xf numFmtId="166" fontId="2" fillId="3" borderId="12" xfId="0" applyNumberFormat="1" applyFont="1" applyFill="1" applyBorder="1"/>
    <xf numFmtId="166" fontId="2" fillId="3" borderId="0" xfId="0" applyNumberFormat="1" applyFont="1" applyFill="1"/>
    <xf numFmtId="167" fontId="2" fillId="15" borderId="1" xfId="3" applyNumberFormat="1" applyFont="1" applyFill="1" applyBorder="1" applyAlignment="1">
      <alignment horizontal="center"/>
    </xf>
    <xf numFmtId="167" fontId="2" fillId="15" borderId="17" xfId="3" applyNumberFormat="1" applyFont="1" applyFill="1" applyBorder="1" applyAlignment="1">
      <alignment horizontal="center"/>
    </xf>
    <xf numFmtId="0" fontId="2" fillId="12" borderId="60" xfId="0" applyFont="1" applyFill="1" applyBorder="1" applyAlignment="1">
      <alignment horizontal="right"/>
    </xf>
    <xf numFmtId="167" fontId="2" fillId="12" borderId="61" xfId="3" applyNumberFormat="1" applyFont="1" applyFill="1" applyBorder="1" applyAlignment="1">
      <alignment horizontal="center"/>
    </xf>
    <xf numFmtId="0" fontId="0" fillId="0" borderId="0" xfId="0" applyBorder="1"/>
    <xf numFmtId="0" fontId="18" fillId="0" borderId="0" xfId="0" applyFont="1" applyFill="1" applyBorder="1" applyAlignment="1">
      <alignment vertical="center"/>
    </xf>
    <xf numFmtId="0" fontId="0" fillId="0" borderId="44" xfId="0" applyBorder="1"/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vertical="center" shrinkToFit="1"/>
    </xf>
    <xf numFmtId="0" fontId="20" fillId="0" borderId="0" xfId="0" applyFont="1"/>
    <xf numFmtId="0" fontId="20" fillId="0" borderId="44" xfId="0" applyFont="1" applyBorder="1"/>
    <xf numFmtId="0" fontId="20" fillId="0" borderId="0" xfId="0" applyFont="1" applyBorder="1"/>
    <xf numFmtId="3" fontId="19" fillId="0" borderId="0" xfId="0" applyNumberFormat="1" applyFont="1" applyFill="1" applyBorder="1" applyAlignment="1">
      <alignment vertical="center" shrinkToFit="1"/>
    </xf>
    <xf numFmtId="0" fontId="18" fillId="0" borderId="0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 shrinkToFit="1"/>
    </xf>
    <xf numFmtId="3" fontId="18" fillId="0" borderId="0" xfId="0" applyNumberFormat="1" applyFont="1" applyFill="1" applyBorder="1" applyAlignment="1">
      <alignment horizontal="center" vertical="center" shrinkToFit="1"/>
    </xf>
    <xf numFmtId="3" fontId="0" fillId="0" borderId="0" xfId="0" applyNumberFormat="1" applyAlignment="1">
      <alignment horizontal="center"/>
    </xf>
    <xf numFmtId="3" fontId="20" fillId="0" borderId="0" xfId="0" applyNumberFormat="1" applyFont="1" applyAlignment="1">
      <alignment horizontal="center"/>
    </xf>
    <xf numFmtId="0" fontId="3" fillId="3" borderId="0" xfId="0" applyFont="1" applyFill="1" applyAlignment="1">
      <alignment horizontal="center"/>
    </xf>
    <xf numFmtId="167" fontId="3" fillId="3" borderId="0" xfId="0" applyNumberFormat="1" applyFont="1" applyFill="1" applyAlignment="1">
      <alignment horizontal="center"/>
    </xf>
    <xf numFmtId="167" fontId="2" fillId="12" borderId="54" xfId="3" applyNumberFormat="1" applyFont="1" applyFill="1" applyBorder="1" applyAlignment="1">
      <alignment horizontal="center" vertical="center"/>
    </xf>
    <xf numFmtId="167" fontId="2" fillId="12" borderId="23" xfId="3" applyNumberFormat="1" applyFont="1" applyFill="1" applyBorder="1" applyAlignment="1">
      <alignment horizontal="center" vertical="center"/>
    </xf>
    <xf numFmtId="3" fontId="22" fillId="0" borderId="0" xfId="3" applyNumberFormat="1" applyFont="1" applyFill="1" applyBorder="1" applyAlignment="1">
      <alignment horizontal="center" vertical="center"/>
    </xf>
    <xf numFmtId="3" fontId="22" fillId="0" borderId="0" xfId="3" applyNumberFormat="1" applyFont="1" applyFill="1" applyBorder="1" applyAlignment="1">
      <alignment horizontal="center" vertical="center" shrinkToFit="1"/>
    </xf>
    <xf numFmtId="3" fontId="21" fillId="0" borderId="68" xfId="3" applyNumberFormat="1" applyFont="1" applyFill="1" applyBorder="1" applyAlignment="1">
      <alignment horizontal="center" vertical="center" shrinkToFit="1"/>
    </xf>
    <xf numFmtId="3" fontId="24" fillId="0" borderId="0" xfId="3" applyNumberFormat="1" applyFont="1" applyAlignment="1">
      <alignment horizontal="center"/>
    </xf>
    <xf numFmtId="3" fontId="22" fillId="0" borderId="67" xfId="3" applyNumberFormat="1" applyFont="1" applyFill="1" applyBorder="1" applyAlignment="1">
      <alignment horizontal="center" vertical="center" shrinkToFit="1"/>
    </xf>
    <xf numFmtId="0" fontId="21" fillId="0" borderId="66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vertical="center" shrinkToFit="1"/>
    </xf>
    <xf numFmtId="0" fontId="22" fillId="0" borderId="33" xfId="0" applyFont="1" applyFill="1" applyBorder="1" applyAlignment="1">
      <alignment vertical="center" shrinkToFit="1"/>
    </xf>
    <xf numFmtId="0" fontId="21" fillId="0" borderId="33" xfId="0" applyFont="1" applyFill="1" applyBorder="1" applyAlignment="1">
      <alignment horizontal="right" vertical="center"/>
    </xf>
    <xf numFmtId="0" fontId="21" fillId="0" borderId="66" xfId="0" applyFont="1" applyFill="1" applyBorder="1" applyAlignment="1">
      <alignment vertical="center" shrinkToFit="1"/>
    </xf>
    <xf numFmtId="0" fontId="24" fillId="0" borderId="33" xfId="0" applyFont="1" applyBorder="1"/>
    <xf numFmtId="0" fontId="24" fillId="0" borderId="0" xfId="0" applyFont="1"/>
    <xf numFmtId="166" fontId="3" fillId="3" borderId="0" xfId="3" applyNumberFormat="1" applyFont="1" applyFill="1"/>
    <xf numFmtId="3" fontId="20" fillId="0" borderId="0" xfId="0" applyNumberFormat="1" applyFont="1" applyBorder="1"/>
    <xf numFmtId="3" fontId="0" fillId="0" borderId="0" xfId="0" applyNumberFormat="1" applyBorder="1"/>
    <xf numFmtId="0" fontId="6" fillId="3" borderId="22" xfId="1" applyNumberFormat="1" applyFont="1" applyFill="1" applyBorder="1" applyAlignment="1">
      <alignment horizontal="center" vertical="center"/>
    </xf>
    <xf numFmtId="0" fontId="2" fillId="3" borderId="0" xfId="1" applyFont="1" applyFill="1" applyAlignment="1">
      <alignment vertical="center"/>
    </xf>
    <xf numFmtId="3" fontId="21" fillId="17" borderId="67" xfId="3" applyNumberFormat="1" applyFont="1" applyFill="1" applyBorder="1" applyAlignment="1">
      <alignment horizontal="center" vertical="center"/>
    </xf>
    <xf numFmtId="3" fontId="23" fillId="17" borderId="69" xfId="3" applyNumberFormat="1" applyFont="1" applyFill="1" applyBorder="1" applyAlignment="1">
      <alignment horizontal="center"/>
    </xf>
    <xf numFmtId="3" fontId="21" fillId="12" borderId="70" xfId="3" applyNumberFormat="1" applyFont="1" applyFill="1" applyBorder="1" applyAlignment="1">
      <alignment horizontal="center" vertical="center" shrinkToFit="1"/>
    </xf>
    <xf numFmtId="3" fontId="21" fillId="12" borderId="68" xfId="3" applyNumberFormat="1" applyFont="1" applyFill="1" applyBorder="1" applyAlignment="1">
      <alignment horizontal="center" vertical="center" shrinkToFit="1"/>
    </xf>
    <xf numFmtId="3" fontId="23" fillId="4" borderId="69" xfId="3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25" fillId="0" borderId="0" xfId="0" applyFont="1" applyFill="1"/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3" fillId="2" borderId="0" xfId="0" applyFont="1" applyFill="1"/>
    <xf numFmtId="3" fontId="2" fillId="3" borderId="29" xfId="0" applyNumberFormat="1" applyFont="1" applyFill="1" applyBorder="1" applyAlignment="1">
      <alignment horizontal="center"/>
    </xf>
    <xf numFmtId="3" fontId="2" fillId="3" borderId="21" xfId="0" applyNumberFormat="1" applyFont="1" applyFill="1" applyBorder="1" applyAlignment="1">
      <alignment horizontal="center"/>
    </xf>
    <xf numFmtId="3" fontId="2" fillId="3" borderId="77" xfId="0" applyNumberFormat="1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right"/>
    </xf>
    <xf numFmtId="166" fontId="2" fillId="31" borderId="20" xfId="3" applyNumberFormat="1" applyFont="1" applyFill="1" applyBorder="1" applyAlignment="1">
      <alignment horizontal="center" vertical="center"/>
    </xf>
    <xf numFmtId="166" fontId="2" fillId="31" borderId="21" xfId="3" applyNumberFormat="1" applyFont="1" applyFill="1" applyBorder="1" applyAlignment="1">
      <alignment horizontal="center" vertical="center"/>
    </xf>
    <xf numFmtId="0" fontId="2" fillId="32" borderId="22" xfId="0" applyNumberFormat="1" applyFont="1" applyFill="1" applyBorder="1" applyAlignment="1">
      <alignment horizontal="right" vertical="center"/>
    </xf>
    <xf numFmtId="3" fontId="2" fillId="32" borderId="20" xfId="0" applyNumberFormat="1" applyFont="1" applyFill="1" applyBorder="1" applyAlignment="1">
      <alignment horizontal="center" vertical="center"/>
    </xf>
    <xf numFmtId="3" fontId="2" fillId="32" borderId="36" xfId="0" applyNumberFormat="1" applyFont="1" applyFill="1" applyBorder="1" applyAlignment="1">
      <alignment horizontal="center" vertical="center"/>
    </xf>
    <xf numFmtId="166" fontId="2" fillId="33" borderId="20" xfId="3" applyNumberFormat="1" applyFont="1" applyFill="1" applyBorder="1" applyAlignment="1">
      <alignment horizontal="center" vertical="center"/>
    </xf>
    <xf numFmtId="166" fontId="2" fillId="33" borderId="21" xfId="3" applyNumberFormat="1" applyFont="1" applyFill="1" applyBorder="1" applyAlignment="1">
      <alignment horizontal="center" vertical="center"/>
    </xf>
    <xf numFmtId="166" fontId="2" fillId="33" borderId="20" xfId="3" applyNumberFormat="1" applyFont="1" applyFill="1" applyBorder="1" applyAlignment="1">
      <alignment horizontal="right" vertical="center"/>
    </xf>
    <xf numFmtId="0" fontId="4" fillId="31" borderId="32" xfId="0" applyNumberFormat="1" applyFont="1" applyFill="1" applyBorder="1" applyAlignment="1">
      <alignment horizontal="right" vertical="center"/>
    </xf>
    <xf numFmtId="0" fontId="2" fillId="31" borderId="20" xfId="0" applyNumberFormat="1" applyFont="1" applyFill="1" applyBorder="1" applyAlignment="1">
      <alignment horizontal="center" vertical="center"/>
    </xf>
    <xf numFmtId="166" fontId="2" fillId="31" borderId="22" xfId="0" applyNumberFormat="1" applyFont="1" applyFill="1" applyBorder="1" applyAlignment="1">
      <alignment horizontal="center" vertical="center"/>
    </xf>
    <xf numFmtId="166" fontId="2" fillId="31" borderId="32" xfId="3" applyNumberFormat="1" applyFont="1" applyFill="1" applyBorder="1" applyAlignment="1">
      <alignment horizontal="center" vertical="center"/>
    </xf>
    <xf numFmtId="166" fontId="2" fillId="31" borderId="22" xfId="3" applyNumberFormat="1" applyFont="1" applyFill="1" applyBorder="1" applyAlignment="1">
      <alignment horizontal="center" vertical="center"/>
    </xf>
    <xf numFmtId="166" fontId="2" fillId="31" borderId="36" xfId="3" applyNumberFormat="1" applyFont="1" applyFill="1" applyBorder="1" applyAlignment="1">
      <alignment horizontal="center" vertical="center"/>
    </xf>
    <xf numFmtId="164" fontId="2" fillId="3" borderId="0" xfId="0" applyNumberFormat="1" applyFont="1" applyFill="1"/>
    <xf numFmtId="0" fontId="2" fillId="34" borderId="52" xfId="0" applyNumberFormat="1" applyFont="1" applyFill="1" applyBorder="1" applyAlignment="1">
      <alignment horizontal="right" vertical="center"/>
    </xf>
    <xf numFmtId="3" fontId="2" fillId="34" borderId="2" xfId="0" applyNumberFormat="1" applyFont="1" applyFill="1" applyBorder="1" applyAlignment="1">
      <alignment horizontal="center" vertical="center"/>
    </xf>
    <xf numFmtId="3" fontId="2" fillId="34" borderId="17" xfId="0" applyNumberFormat="1" applyFont="1" applyFill="1" applyBorder="1" applyAlignment="1">
      <alignment horizontal="center" vertical="center"/>
    </xf>
    <xf numFmtId="0" fontId="2" fillId="35" borderId="52" xfId="0" applyNumberFormat="1" applyFont="1" applyFill="1" applyBorder="1" applyAlignment="1">
      <alignment horizontal="right" vertical="center"/>
    </xf>
    <xf numFmtId="9" fontId="2" fillId="35" borderId="2" xfId="4" applyFont="1" applyFill="1" applyBorder="1" applyAlignment="1">
      <alignment horizontal="center" vertical="center"/>
    </xf>
    <xf numFmtId="9" fontId="2" fillId="35" borderId="17" xfId="4" applyFont="1" applyFill="1" applyBorder="1" applyAlignment="1">
      <alignment horizontal="center" vertical="center"/>
    </xf>
    <xf numFmtId="3" fontId="2" fillId="3" borderId="0" xfId="4" applyNumberFormat="1" applyFont="1" applyFill="1" applyAlignment="1">
      <alignment horizontal="center"/>
    </xf>
    <xf numFmtId="0" fontId="7" fillId="36" borderId="48" xfId="2" applyFont="1" applyFill="1" applyBorder="1" applyAlignment="1">
      <alignment horizontal="center"/>
    </xf>
    <xf numFmtId="0" fontId="7" fillId="37" borderId="48" xfId="2" applyFont="1" applyFill="1" applyBorder="1" applyAlignment="1">
      <alignment horizontal="center"/>
    </xf>
    <xf numFmtId="0" fontId="7" fillId="38" borderId="50" xfId="2" applyFont="1" applyFill="1" applyBorder="1" applyAlignment="1">
      <alignment horizontal="center"/>
    </xf>
    <xf numFmtId="0" fontId="7" fillId="23" borderId="50" xfId="2" applyFont="1" applyFill="1" applyBorder="1" applyAlignment="1">
      <alignment horizontal="center"/>
    </xf>
    <xf numFmtId="0" fontId="2" fillId="39" borderId="22" xfId="0" applyFont="1" applyFill="1" applyBorder="1" applyAlignment="1">
      <alignment vertical="center"/>
    </xf>
    <xf numFmtId="0" fontId="2" fillId="39" borderId="29" xfId="0" applyNumberFormat="1" applyFont="1" applyFill="1" applyBorder="1" applyAlignment="1">
      <alignment horizontal="center" vertical="center"/>
    </xf>
    <xf numFmtId="0" fontId="2" fillId="39" borderId="20" xfId="0" applyNumberFormat="1" applyFont="1" applyFill="1" applyBorder="1" applyAlignment="1">
      <alignment horizontal="center" vertical="center"/>
    </xf>
    <xf numFmtId="0" fontId="2" fillId="39" borderId="21" xfId="0" applyNumberFormat="1" applyFont="1" applyFill="1" applyBorder="1" applyAlignment="1">
      <alignment horizontal="center" vertical="center"/>
    </xf>
    <xf numFmtId="0" fontId="2" fillId="40" borderId="22" xfId="0" applyFont="1" applyFill="1" applyBorder="1" applyAlignment="1">
      <alignment vertical="center"/>
    </xf>
    <xf numFmtId="0" fontId="2" fillId="40" borderId="29" xfId="0" applyNumberFormat="1" applyFont="1" applyFill="1" applyBorder="1" applyAlignment="1">
      <alignment horizontal="center" vertical="center"/>
    </xf>
    <xf numFmtId="0" fontId="2" fillId="40" borderId="20" xfId="0" applyNumberFormat="1" applyFont="1" applyFill="1" applyBorder="1" applyAlignment="1">
      <alignment horizontal="center" vertical="center"/>
    </xf>
    <xf numFmtId="0" fontId="2" fillId="40" borderId="21" xfId="0" applyNumberFormat="1" applyFont="1" applyFill="1" applyBorder="1" applyAlignment="1">
      <alignment horizontal="center" vertical="center"/>
    </xf>
    <xf numFmtId="0" fontId="2" fillId="41" borderId="55" xfId="0" applyNumberFormat="1" applyFont="1" applyFill="1" applyBorder="1" applyAlignment="1">
      <alignment horizontal="right" vertical="center"/>
    </xf>
    <xf numFmtId="3" fontId="2" fillId="41" borderId="1" xfId="0" applyNumberFormat="1" applyFont="1" applyFill="1" applyBorder="1" applyAlignment="1">
      <alignment horizontal="center" vertical="center"/>
    </xf>
    <xf numFmtId="3" fontId="2" fillId="41" borderId="17" xfId="0" applyNumberFormat="1" applyFont="1" applyFill="1" applyBorder="1" applyAlignment="1">
      <alignment horizontal="center" vertical="center"/>
    </xf>
    <xf numFmtId="0" fontId="7" fillId="42" borderId="50" xfId="2" applyFont="1" applyFill="1" applyBorder="1" applyAlignment="1">
      <alignment horizontal="center"/>
    </xf>
    <xf numFmtId="0" fontId="7" fillId="4" borderId="46" xfId="2" applyFont="1" applyFill="1" applyBorder="1" applyAlignment="1">
      <alignment horizontal="center"/>
    </xf>
    <xf numFmtId="0" fontId="7" fillId="42" borderId="49" xfId="2" applyFont="1" applyFill="1" applyBorder="1" applyAlignment="1">
      <alignment horizontal="center"/>
    </xf>
    <xf numFmtId="3" fontId="27" fillId="5" borderId="9" xfId="0" applyNumberFormat="1" applyFont="1" applyFill="1" applyBorder="1" applyAlignment="1">
      <alignment horizontal="center" vertical="center"/>
    </xf>
    <xf numFmtId="3" fontId="27" fillId="5" borderId="16" xfId="0" applyNumberFormat="1" applyFont="1" applyFill="1" applyBorder="1" applyAlignment="1">
      <alignment horizontal="center" vertical="center"/>
    </xf>
    <xf numFmtId="3" fontId="27" fillId="6" borderId="2" xfId="0" applyNumberFormat="1" applyFont="1" applyFill="1" applyBorder="1" applyAlignment="1">
      <alignment horizontal="center" vertical="center"/>
    </xf>
    <xf numFmtId="3" fontId="27" fillId="6" borderId="17" xfId="0" applyNumberFormat="1" applyFont="1" applyFill="1" applyBorder="1" applyAlignment="1">
      <alignment horizontal="center" vertical="center"/>
    </xf>
    <xf numFmtId="3" fontId="27" fillId="4" borderId="2" xfId="0" applyNumberFormat="1" applyFont="1" applyFill="1" applyBorder="1" applyAlignment="1">
      <alignment horizontal="center" vertical="center"/>
    </xf>
    <xf numFmtId="3" fontId="27" fillId="4" borderId="17" xfId="0" applyNumberFormat="1" applyFont="1" applyFill="1" applyBorder="1" applyAlignment="1">
      <alignment horizontal="center" vertical="center"/>
    </xf>
    <xf numFmtId="3" fontId="27" fillId="7" borderId="18" xfId="0" applyNumberFormat="1" applyFont="1" applyFill="1" applyBorder="1" applyAlignment="1">
      <alignment horizontal="center" vertical="center"/>
    </xf>
    <xf numFmtId="3" fontId="27" fillId="7" borderId="19" xfId="0" applyNumberFormat="1" applyFont="1" applyFill="1" applyBorder="1" applyAlignment="1">
      <alignment horizontal="center" vertical="center"/>
    </xf>
    <xf numFmtId="3" fontId="27" fillId="8" borderId="20" xfId="0" applyNumberFormat="1" applyFont="1" applyFill="1" applyBorder="1" applyAlignment="1">
      <alignment horizontal="center" vertical="center"/>
    </xf>
    <xf numFmtId="3" fontId="27" fillId="8" borderId="21" xfId="0" applyNumberFormat="1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right" vertical="center"/>
    </xf>
    <xf numFmtId="167" fontId="2" fillId="8" borderId="22" xfId="0" applyNumberFormat="1" applyFont="1" applyFill="1" applyBorder="1" applyAlignment="1">
      <alignment horizontal="center" vertical="center"/>
    </xf>
    <xf numFmtId="167" fontId="2" fillId="8" borderId="20" xfId="3" applyNumberFormat="1" applyFont="1" applyFill="1" applyBorder="1" applyAlignment="1">
      <alignment horizontal="center" vertical="center"/>
    </xf>
    <xf numFmtId="167" fontId="2" fillId="8" borderId="21" xfId="3" applyNumberFormat="1" applyFont="1" applyFill="1" applyBorder="1" applyAlignment="1">
      <alignment horizontal="center" vertical="center"/>
    </xf>
    <xf numFmtId="167" fontId="2" fillId="8" borderId="32" xfId="3" applyNumberFormat="1" applyFont="1" applyFill="1" applyBorder="1" applyAlignment="1">
      <alignment horizontal="center" vertical="center"/>
    </xf>
    <xf numFmtId="167" fontId="2" fillId="8" borderId="22" xfId="3" applyNumberFormat="1" applyFont="1" applyFill="1" applyBorder="1" applyAlignment="1">
      <alignment horizontal="center" vertical="center"/>
    </xf>
    <xf numFmtId="167" fontId="2" fillId="7" borderId="7" xfId="3" applyNumberFormat="1" applyFont="1" applyFill="1" applyBorder="1" applyAlignment="1">
      <alignment horizontal="center" vertical="center"/>
    </xf>
    <xf numFmtId="167" fontId="2" fillId="7" borderId="33" xfId="3" applyNumberFormat="1" applyFont="1" applyFill="1" applyBorder="1" applyAlignment="1">
      <alignment horizontal="center" vertical="center"/>
    </xf>
    <xf numFmtId="167" fontId="2" fillId="7" borderId="19" xfId="3" applyNumberFormat="1" applyFont="1" applyFill="1" applyBorder="1" applyAlignment="1">
      <alignment horizontal="center" vertical="center"/>
    </xf>
    <xf numFmtId="167" fontId="2" fillId="7" borderId="42" xfId="3" applyNumberFormat="1" applyFont="1" applyFill="1" applyBorder="1" applyAlignment="1">
      <alignment horizontal="center" vertical="center"/>
    </xf>
    <xf numFmtId="167" fontId="2" fillId="7" borderId="18" xfId="3" applyNumberFormat="1" applyFont="1" applyFill="1" applyBorder="1" applyAlignment="1">
      <alignment horizontal="center" vertical="center"/>
    </xf>
    <xf numFmtId="167" fontId="2" fillId="7" borderId="57" xfId="3" applyNumberFormat="1" applyFont="1" applyFill="1" applyBorder="1" applyAlignment="1">
      <alignment horizontal="center" vertical="center"/>
    </xf>
    <xf numFmtId="166" fontId="27" fillId="15" borderId="54" xfId="3" applyNumberFormat="1" applyFont="1" applyFill="1" applyBorder="1"/>
    <xf numFmtId="166" fontId="27" fillId="15" borderId="23" xfId="3" applyNumberFormat="1" applyFont="1" applyFill="1" applyBorder="1"/>
    <xf numFmtId="166" fontId="27" fillId="16" borderId="1" xfId="3" applyNumberFormat="1" applyFont="1" applyFill="1" applyBorder="1"/>
    <xf numFmtId="166" fontId="27" fillId="16" borderId="17" xfId="3" applyNumberFormat="1" applyFont="1" applyFill="1" applyBorder="1"/>
    <xf numFmtId="166" fontId="27" fillId="4" borderId="1" xfId="3" applyNumberFormat="1" applyFont="1" applyFill="1" applyBorder="1"/>
    <xf numFmtId="166" fontId="27" fillId="4" borderId="17" xfId="3" applyNumberFormat="1" applyFont="1" applyFill="1" applyBorder="1"/>
    <xf numFmtId="166" fontId="27" fillId="17" borderId="61" xfId="3" applyNumberFormat="1" applyFont="1" applyFill="1" applyBorder="1"/>
    <xf numFmtId="166" fontId="27" fillId="17" borderId="62" xfId="3" applyNumberFormat="1" applyFont="1" applyFill="1" applyBorder="1"/>
    <xf numFmtId="0" fontId="2" fillId="6" borderId="78" xfId="0" applyNumberFormat="1" applyFont="1" applyFill="1" applyBorder="1" applyAlignment="1">
      <alignment horizontal="right" vertical="center"/>
    </xf>
    <xf numFmtId="3" fontId="2" fillId="6" borderId="79" xfId="0" applyNumberFormat="1" applyFont="1" applyFill="1" applyBorder="1" applyAlignment="1">
      <alignment horizontal="center" vertical="center"/>
    </xf>
    <xf numFmtId="3" fontId="2" fillId="6" borderId="62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right" vertical="center" wrapText="1"/>
    </xf>
    <xf numFmtId="0" fontId="26" fillId="0" borderId="25" xfId="0" applyFont="1" applyFill="1" applyBorder="1" applyAlignment="1">
      <alignment horizontal="right"/>
    </xf>
    <xf numFmtId="0" fontId="4" fillId="19" borderId="25" xfId="0" applyFont="1" applyFill="1" applyBorder="1" applyAlignment="1">
      <alignment horizontal="right"/>
    </xf>
    <xf numFmtId="0" fontId="4" fillId="12" borderId="25" xfId="0" applyFont="1" applyFill="1" applyBorder="1" applyAlignment="1">
      <alignment horizontal="right"/>
    </xf>
    <xf numFmtId="0" fontId="4" fillId="4" borderId="73" xfId="0" applyFont="1" applyFill="1" applyBorder="1" applyAlignment="1">
      <alignment horizontal="right"/>
    </xf>
    <xf numFmtId="0" fontId="26" fillId="23" borderId="25" xfId="0" applyFont="1" applyFill="1" applyBorder="1" applyAlignment="1">
      <alignment horizontal="right"/>
    </xf>
    <xf numFmtId="0" fontId="26" fillId="38" borderId="25" xfId="0" applyFont="1" applyFill="1" applyBorder="1" applyAlignment="1">
      <alignment horizontal="right"/>
    </xf>
    <xf numFmtId="0" fontId="4" fillId="23" borderId="24" xfId="0" applyFont="1" applyFill="1" applyBorder="1" applyAlignment="1">
      <alignment horizontal="right"/>
    </xf>
    <xf numFmtId="0" fontId="3" fillId="23" borderId="71" xfId="0" applyFont="1" applyFill="1" applyBorder="1" applyAlignment="1">
      <alignment horizontal="center"/>
    </xf>
    <xf numFmtId="0" fontId="3" fillId="23" borderId="72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/>
    </xf>
    <xf numFmtId="3" fontId="2" fillId="0" borderId="75" xfId="0" applyNumberFormat="1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168" fontId="2" fillId="0" borderId="75" xfId="0" applyNumberFormat="1" applyFont="1" applyFill="1" applyBorder="1" applyAlignment="1">
      <alignment horizontal="center"/>
    </xf>
    <xf numFmtId="3" fontId="2" fillId="0" borderId="76" xfId="0" applyNumberFormat="1" applyFont="1" applyFill="1" applyBorder="1" applyAlignment="1">
      <alignment horizontal="center"/>
    </xf>
    <xf numFmtId="0" fontId="2" fillId="38" borderId="75" xfId="0" applyFont="1" applyFill="1" applyBorder="1" applyAlignment="1">
      <alignment horizontal="center"/>
    </xf>
    <xf numFmtId="0" fontId="2" fillId="38" borderId="76" xfId="0" applyFont="1" applyFill="1" applyBorder="1" applyAlignment="1">
      <alignment horizontal="center"/>
    </xf>
    <xf numFmtId="0" fontId="2" fillId="23" borderId="75" xfId="0" applyFont="1" applyFill="1" applyBorder="1" applyAlignment="1">
      <alignment horizontal="center"/>
    </xf>
    <xf numFmtId="0" fontId="2" fillId="23" borderId="76" xfId="0" applyFont="1" applyFill="1" applyBorder="1" applyAlignment="1">
      <alignment horizontal="center"/>
    </xf>
    <xf numFmtId="0" fontId="2" fillId="19" borderId="75" xfId="0" applyFont="1" applyFill="1" applyBorder="1" applyAlignment="1">
      <alignment horizontal="center"/>
    </xf>
    <xf numFmtId="0" fontId="28" fillId="19" borderId="75" xfId="0" applyFont="1" applyFill="1" applyBorder="1"/>
    <xf numFmtId="3" fontId="2" fillId="19" borderId="76" xfId="0" applyNumberFormat="1" applyFont="1" applyFill="1" applyBorder="1" applyAlignment="1">
      <alignment horizontal="center"/>
    </xf>
    <xf numFmtId="0" fontId="2" fillId="12" borderId="75" xfId="0" applyFont="1" applyFill="1" applyBorder="1" applyAlignment="1">
      <alignment horizontal="center"/>
    </xf>
    <xf numFmtId="3" fontId="2" fillId="12" borderId="76" xfId="0" applyNumberFormat="1" applyFont="1" applyFill="1" applyBorder="1" applyAlignment="1">
      <alignment horizontal="center"/>
    </xf>
    <xf numFmtId="0" fontId="2" fillId="4" borderId="74" xfId="0" applyFont="1" applyFill="1" applyBorder="1" applyAlignment="1">
      <alignment horizontal="center"/>
    </xf>
    <xf numFmtId="3" fontId="2" fillId="4" borderId="51" xfId="0" applyNumberFormat="1" applyFont="1" applyFill="1" applyBorder="1" applyAlignment="1">
      <alignment horizontal="center"/>
    </xf>
    <xf numFmtId="0" fontId="2" fillId="12" borderId="45" xfId="0" applyFont="1" applyFill="1" applyBorder="1" applyAlignment="1">
      <alignment horizontal="center" vertical="center"/>
    </xf>
    <xf numFmtId="0" fontId="2" fillId="12" borderId="46" xfId="0" applyFont="1" applyFill="1" applyBorder="1" applyAlignment="1">
      <alignment horizontal="center" vertical="center"/>
    </xf>
    <xf numFmtId="0" fontId="2" fillId="12" borderId="47" xfId="0" applyFont="1" applyFill="1" applyBorder="1" applyAlignment="1">
      <alignment horizontal="center" vertical="center"/>
    </xf>
    <xf numFmtId="0" fontId="2" fillId="11" borderId="4" xfId="1" applyNumberFormat="1" applyFont="1" applyFill="1" applyBorder="1" applyAlignment="1">
      <alignment horizontal="center"/>
    </xf>
    <xf numFmtId="0" fontId="2" fillId="11" borderId="5" xfId="1" applyNumberFormat="1" applyFont="1" applyFill="1" applyBorder="1" applyAlignment="1">
      <alignment horizontal="center"/>
    </xf>
    <xf numFmtId="0" fontId="2" fillId="11" borderId="6" xfId="1" applyNumberFormat="1" applyFont="1" applyFill="1" applyBorder="1" applyAlignment="1">
      <alignment horizontal="center"/>
    </xf>
    <xf numFmtId="0" fontId="7" fillId="11" borderId="7" xfId="1" applyNumberFormat="1" applyFont="1" applyFill="1" applyBorder="1" applyAlignment="1">
      <alignment horizontal="center"/>
    </xf>
    <xf numFmtId="0" fontId="7" fillId="11" borderId="0" xfId="1" applyNumberFormat="1" applyFont="1" applyFill="1" applyBorder="1" applyAlignment="1">
      <alignment horizontal="center"/>
    </xf>
    <xf numFmtId="0" fontId="7" fillId="11" borderId="8" xfId="1" applyNumberFormat="1" applyFont="1" applyFill="1" applyBorder="1" applyAlignment="1">
      <alignment horizontal="center"/>
    </xf>
    <xf numFmtId="0" fontId="6" fillId="11" borderId="14" xfId="1" applyNumberFormat="1" applyFont="1" applyFill="1" applyBorder="1" applyAlignment="1">
      <alignment horizontal="center"/>
    </xf>
    <xf numFmtId="0" fontId="6" fillId="11" borderId="13" xfId="1" applyNumberFormat="1" applyFont="1" applyFill="1" applyBorder="1" applyAlignment="1">
      <alignment horizontal="center"/>
    </xf>
    <xf numFmtId="0" fontId="6" fillId="11" borderId="15" xfId="1" applyNumberFormat="1" applyFont="1" applyFill="1" applyBorder="1" applyAlignment="1">
      <alignment horizontal="center"/>
    </xf>
    <xf numFmtId="0" fontId="6" fillId="3" borderId="29" xfId="1" applyNumberFormat="1" applyFont="1" applyFill="1" applyBorder="1" applyAlignment="1">
      <alignment horizontal="center" vertical="center"/>
    </xf>
    <xf numFmtId="0" fontId="6" fillId="3" borderId="30" xfId="1" applyNumberFormat="1" applyFont="1" applyFill="1" applyBorder="1" applyAlignment="1">
      <alignment horizontal="center" vertical="center"/>
    </xf>
    <xf numFmtId="0" fontId="6" fillId="3" borderId="39" xfId="1" applyNumberFormat="1" applyFont="1" applyFill="1" applyBorder="1" applyAlignment="1">
      <alignment horizontal="center" vertical="center"/>
    </xf>
    <xf numFmtId="0" fontId="6" fillId="3" borderId="40" xfId="1" applyNumberFormat="1" applyFont="1" applyFill="1" applyBorder="1" applyAlignment="1">
      <alignment horizontal="center" vertical="center"/>
    </xf>
    <xf numFmtId="0" fontId="5" fillId="9" borderId="29" xfId="0" applyNumberFormat="1" applyFont="1" applyFill="1" applyBorder="1" applyAlignment="1">
      <alignment horizontal="center" vertical="center"/>
    </xf>
    <xf numFmtId="0" fontId="5" fillId="9" borderId="30" xfId="0" applyNumberFormat="1" applyFont="1" applyFill="1" applyBorder="1" applyAlignment="1">
      <alignment horizontal="center" vertical="center"/>
    </xf>
    <xf numFmtId="0" fontId="5" fillId="9" borderId="39" xfId="0" applyNumberFormat="1" applyFont="1" applyFill="1" applyBorder="1" applyAlignment="1">
      <alignment horizontal="center" vertical="center"/>
    </xf>
    <xf numFmtId="0" fontId="5" fillId="9" borderId="40" xfId="0" applyNumberFormat="1" applyFont="1" applyFill="1" applyBorder="1" applyAlignment="1">
      <alignment horizontal="center" vertical="center"/>
    </xf>
    <xf numFmtId="0" fontId="2" fillId="11" borderId="4" xfId="0" applyNumberFormat="1" applyFont="1" applyFill="1" applyBorder="1" applyAlignment="1">
      <alignment horizontal="center"/>
    </xf>
    <xf numFmtId="0" fontId="2" fillId="11" borderId="5" xfId="0" applyNumberFormat="1" applyFont="1" applyFill="1" applyBorder="1" applyAlignment="1">
      <alignment horizontal="center"/>
    </xf>
    <xf numFmtId="0" fontId="2" fillId="11" borderId="6" xfId="0" applyNumberFormat="1" applyFont="1" applyFill="1" applyBorder="1" applyAlignment="1">
      <alignment horizontal="center"/>
    </xf>
    <xf numFmtId="0" fontId="7" fillId="11" borderId="7" xfId="0" applyNumberFormat="1" applyFont="1" applyFill="1" applyBorder="1" applyAlignment="1">
      <alignment horizontal="center"/>
    </xf>
    <xf numFmtId="0" fontId="7" fillId="11" borderId="0" xfId="0" applyNumberFormat="1" applyFont="1" applyFill="1" applyBorder="1" applyAlignment="1">
      <alignment horizontal="center"/>
    </xf>
    <xf numFmtId="0" fontId="7" fillId="11" borderId="8" xfId="0" applyNumberFormat="1" applyFont="1" applyFill="1" applyBorder="1" applyAlignment="1">
      <alignment horizontal="center"/>
    </xf>
    <xf numFmtId="0" fontId="6" fillId="11" borderId="14" xfId="0" applyNumberFormat="1" applyFont="1" applyFill="1" applyBorder="1" applyAlignment="1">
      <alignment horizontal="center"/>
    </xf>
    <xf numFmtId="0" fontId="6" fillId="11" borderId="13" xfId="0" applyNumberFormat="1" applyFont="1" applyFill="1" applyBorder="1" applyAlignment="1">
      <alignment horizontal="center"/>
    </xf>
    <xf numFmtId="0" fontId="6" fillId="11" borderId="15" xfId="0" applyNumberFormat="1" applyFont="1" applyFill="1" applyBorder="1" applyAlignment="1">
      <alignment horizontal="center"/>
    </xf>
    <xf numFmtId="0" fontId="6" fillId="10" borderId="22" xfId="0" applyNumberFormat="1" applyFont="1" applyFill="1" applyBorder="1" applyAlignment="1">
      <alignment horizontal="center" vertical="center"/>
    </xf>
    <xf numFmtId="0" fontId="6" fillId="10" borderId="32" xfId="0" applyNumberFormat="1" applyFont="1" applyFill="1" applyBorder="1" applyAlignment="1">
      <alignment horizontal="center" vertical="center"/>
    </xf>
    <xf numFmtId="0" fontId="6" fillId="10" borderId="31" xfId="0" applyNumberFormat="1" applyFont="1" applyFill="1" applyBorder="1" applyAlignment="1">
      <alignment horizontal="center" vertical="center"/>
    </xf>
    <xf numFmtId="0" fontId="6" fillId="10" borderId="13" xfId="0" applyNumberFormat="1" applyFont="1" applyFill="1" applyBorder="1" applyAlignment="1">
      <alignment horizontal="center" vertical="center"/>
    </xf>
    <xf numFmtId="0" fontId="6" fillId="10" borderId="15" xfId="0" applyNumberFormat="1" applyFont="1" applyFill="1" applyBorder="1" applyAlignment="1">
      <alignment horizontal="center" vertical="center"/>
    </xf>
    <xf numFmtId="0" fontId="14" fillId="11" borderId="4" xfId="0" applyNumberFormat="1" applyFont="1" applyFill="1" applyBorder="1" applyAlignment="1">
      <alignment horizontal="center"/>
    </xf>
    <xf numFmtId="0" fontId="14" fillId="11" borderId="5" xfId="0" applyNumberFormat="1" applyFont="1" applyFill="1" applyBorder="1" applyAlignment="1">
      <alignment horizontal="center"/>
    </xf>
    <xf numFmtId="0" fontId="14" fillId="11" borderId="6" xfId="0" applyNumberFormat="1" applyFont="1" applyFill="1" applyBorder="1" applyAlignment="1">
      <alignment horizontal="center"/>
    </xf>
    <xf numFmtId="0" fontId="15" fillId="11" borderId="7" xfId="0" applyNumberFormat="1" applyFont="1" applyFill="1" applyBorder="1" applyAlignment="1">
      <alignment horizontal="center"/>
    </xf>
    <xf numFmtId="0" fontId="15" fillId="11" borderId="0" xfId="0" applyNumberFormat="1" applyFont="1" applyFill="1" applyBorder="1" applyAlignment="1">
      <alignment horizontal="center"/>
    </xf>
    <xf numFmtId="0" fontId="15" fillId="11" borderId="8" xfId="0" applyNumberFormat="1" applyFont="1" applyFill="1" applyBorder="1" applyAlignment="1">
      <alignment horizontal="center"/>
    </xf>
    <xf numFmtId="0" fontId="16" fillId="11" borderId="14" xfId="0" applyNumberFormat="1" applyFont="1" applyFill="1" applyBorder="1" applyAlignment="1">
      <alignment horizontal="center"/>
    </xf>
    <xf numFmtId="0" fontId="16" fillId="11" borderId="13" xfId="0" applyNumberFormat="1" applyFont="1" applyFill="1" applyBorder="1" applyAlignment="1">
      <alignment horizontal="center"/>
    </xf>
    <xf numFmtId="0" fontId="16" fillId="11" borderId="15" xfId="0" applyNumberFormat="1" applyFont="1" applyFill="1" applyBorder="1" applyAlignment="1">
      <alignment horizontal="center"/>
    </xf>
    <xf numFmtId="0" fontId="7" fillId="11" borderId="4" xfId="0" applyFont="1" applyFill="1" applyBorder="1" applyAlignment="1">
      <alignment horizontal="center" vertical="center"/>
    </xf>
    <xf numFmtId="0" fontId="7" fillId="11" borderId="5" xfId="0" applyFont="1" applyFill="1" applyBorder="1" applyAlignment="1">
      <alignment horizontal="center" vertical="center"/>
    </xf>
    <xf numFmtId="0" fontId="7" fillId="11" borderId="6" xfId="0" applyFont="1" applyFill="1" applyBorder="1" applyAlignment="1">
      <alignment horizontal="center" vertical="center"/>
    </xf>
    <xf numFmtId="0" fontId="7" fillId="11" borderId="7" xfId="0" applyFont="1" applyFill="1" applyBorder="1" applyAlignment="1">
      <alignment horizontal="center" vertical="center"/>
    </xf>
    <xf numFmtId="0" fontId="7" fillId="11" borderId="0" xfId="0" applyFont="1" applyFill="1" applyBorder="1" applyAlignment="1">
      <alignment horizontal="center" vertical="center"/>
    </xf>
    <xf numFmtId="0" fontId="7" fillId="11" borderId="8" xfId="0" applyFont="1" applyFill="1" applyBorder="1" applyAlignment="1">
      <alignment horizontal="center" vertical="center"/>
    </xf>
    <xf numFmtId="0" fontId="7" fillId="11" borderId="14" xfId="0" applyFont="1" applyFill="1" applyBorder="1" applyAlignment="1">
      <alignment horizontal="center" vertical="center"/>
    </xf>
    <xf numFmtId="0" fontId="7" fillId="11" borderId="13" xfId="0" applyFont="1" applyFill="1" applyBorder="1" applyAlignment="1">
      <alignment horizontal="center" vertical="center"/>
    </xf>
    <xf numFmtId="0" fontId="7" fillId="11" borderId="15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2" fillId="11" borderId="18" xfId="0" applyFont="1" applyFill="1" applyBorder="1" applyAlignment="1">
      <alignment horizontal="center"/>
    </xf>
    <xf numFmtId="0" fontId="2" fillId="11" borderId="42" xfId="0" applyFont="1" applyFill="1" applyBorder="1" applyAlignment="1">
      <alignment horizontal="center"/>
    </xf>
    <xf numFmtId="0" fontId="2" fillId="11" borderId="43" xfId="0" applyFont="1" applyFill="1" applyBorder="1" applyAlignment="1">
      <alignment horizontal="center"/>
    </xf>
    <xf numFmtId="0" fontId="2" fillId="11" borderId="33" xfId="0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/>
    </xf>
    <xf numFmtId="0" fontId="2" fillId="11" borderId="44" xfId="0" applyFont="1" applyFill="1" applyBorder="1" applyAlignment="1">
      <alignment horizontal="center"/>
    </xf>
  </cellXfs>
  <cellStyles count="5">
    <cellStyle name="Comma" xfId="3" builtinId="3"/>
    <cellStyle name="Hyperlink" xfId="2" builtinId="8"/>
    <cellStyle name="Normal" xfId="0" builtinId="0"/>
    <cellStyle name="Normal 2" xfId="1"/>
    <cellStyle name="Percent" xfId="4" builtinId="5"/>
  </cellStyles>
  <dxfs count="0"/>
  <tableStyles count="0" defaultTableStyle="TableStyleMedium2" defaultPivotStyle="PivotStyleLight16"/>
  <colors>
    <mruColors>
      <color rgb="FFFFD85B"/>
      <color rgb="FFFFCD2D"/>
      <color rgb="FFEE7700"/>
      <color rgb="FFDE6F00"/>
      <color rgb="FFDEA400"/>
      <color rgb="FFFF8F3B"/>
      <color rgb="FFFF9647"/>
      <color rgb="FFFFDE75"/>
      <color rgb="FFFF9F3F"/>
      <color rgb="FFE2A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&#1606;&#1605;&#1608;&#1583;&#1575;&#1585;!A1"/><Relationship Id="rId1" Type="http://schemas.openxmlformats.org/officeDocument/2006/relationships/hyperlink" Target="&#1576;&#1608;&#1583;&#1580;&#1607;%20&#1576;&#1606;&#1583;&#1740;%20&#1593;&#1605;&#1604;&#1740;&#1575;&#1578;&#1740;.xl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396240</xdr:colOff>
      <xdr:row>0</xdr:row>
      <xdr:rowOff>0</xdr:rowOff>
    </xdr:from>
    <xdr:to>
      <xdr:col>8</xdr:col>
      <xdr:colOff>845820</xdr:colOff>
      <xdr:row>17</xdr:row>
      <xdr:rowOff>7620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2189340" y="0"/>
          <a:ext cx="6164580" cy="61645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5</xdr:row>
      <xdr:rowOff>47646</xdr:rowOff>
    </xdr:from>
    <xdr:to>
      <xdr:col>10</xdr:col>
      <xdr:colOff>0</xdr:colOff>
      <xdr:row>49</xdr:row>
      <xdr:rowOff>152400</xdr:rowOff>
    </xdr:to>
    <xdr:grpSp>
      <xdr:nvGrpSpPr>
        <xdr:cNvPr id="101" name="Group 90"/>
        <xdr:cNvGrpSpPr>
          <a:grpSpLocks/>
        </xdr:cNvGrpSpPr>
      </xdr:nvGrpSpPr>
      <xdr:grpSpPr bwMode="auto">
        <a:xfrm>
          <a:off x="10274243304" y="898092"/>
          <a:ext cx="5996668" cy="7792790"/>
          <a:chOff x="4" y="141"/>
          <a:chExt cx="591" cy="759"/>
        </a:xfrm>
      </xdr:grpSpPr>
      <xdr:sp macro="[1]!Oval15_Click" textlink="">
        <xdr:nvSpPr>
          <xdr:cNvPr id="102" name="Oval 16"/>
          <xdr:cNvSpPr>
            <a:spLocks noChangeArrowheads="1"/>
          </xdr:cNvSpPr>
        </xdr:nvSpPr>
        <xdr:spPr bwMode="auto">
          <a:xfrm>
            <a:off x="270" y="219"/>
            <a:ext cx="115" cy="52"/>
          </a:xfrm>
          <a:prstGeom prst="ellipse">
            <a:avLst/>
          </a:prstGeom>
          <a:gradFill rotWithShape="1">
            <a:gsLst>
              <a:gs pos="0">
                <a:srgbClr val="FFFFFF"/>
              </a:gs>
              <a:gs pos="100000">
                <a:srgbClr val="CCCCFF"/>
              </a:gs>
            </a:gsLst>
            <a:path path="shape">
              <a:fillToRect l="50000" t="50000" r="50000" b="50000"/>
            </a:path>
          </a:gradFill>
          <a:ln w="9525">
            <a:solidFill>
              <a:srgbClr val="FF00FF"/>
            </a:solidFill>
            <a:round/>
            <a:headEnd/>
            <a:tailEnd/>
          </a:ln>
          <a:effectLst>
            <a:outerShdw dist="107763" dir="2700000" algn="ctr" rotWithShape="0">
              <a:srgbClr val="808080">
                <a:alpha val="50000"/>
              </a:srgbClr>
            </a:outerShdw>
          </a:effectLst>
        </xdr:spPr>
        <xdr:txBody>
          <a:bodyPr vertOverflow="clip" wrap="square" lIns="27432" tIns="54864" rIns="27432" bIns="0" anchor="t" upright="1"/>
          <a:lstStyle/>
          <a:p>
            <a:pPr algn="ctr" rtl="1">
              <a:defRPr sz="1000"/>
            </a:pPr>
            <a:r>
              <a:rPr lang="fa-IR" sz="1000" b="1" i="0" strike="noStrike">
                <a:solidFill>
                  <a:srgbClr val="000000"/>
                </a:solidFill>
                <a:cs typeface="B Titr"/>
              </a:rPr>
              <a:t>بودجه فروش</a:t>
            </a:r>
          </a:p>
        </xdr:txBody>
      </xdr:sp>
      <xdr:sp macro="[1]!Oval15_Click" textlink="">
        <xdr:nvSpPr>
          <xdr:cNvPr id="103" name="Oval 17"/>
          <xdr:cNvSpPr>
            <a:spLocks noChangeArrowheads="1"/>
          </xdr:cNvSpPr>
        </xdr:nvSpPr>
        <xdr:spPr bwMode="auto">
          <a:xfrm>
            <a:off x="270" y="293"/>
            <a:ext cx="115" cy="53"/>
          </a:xfrm>
          <a:prstGeom prst="ellipse">
            <a:avLst/>
          </a:prstGeom>
          <a:gradFill rotWithShape="1">
            <a:gsLst>
              <a:gs pos="0">
                <a:srgbClr val="FFFFFF"/>
              </a:gs>
              <a:gs pos="100000">
                <a:srgbClr val="CCCCFF"/>
              </a:gs>
            </a:gsLst>
            <a:path path="shape">
              <a:fillToRect l="50000" t="50000" r="50000" b="50000"/>
            </a:path>
          </a:gradFill>
          <a:ln w="9525">
            <a:solidFill>
              <a:srgbClr val="FF00FF"/>
            </a:solidFill>
            <a:round/>
            <a:headEnd/>
            <a:tailEnd/>
          </a:ln>
          <a:effectLst>
            <a:outerShdw dist="107763" dir="2700000" algn="ctr" rotWithShape="0">
              <a:srgbClr val="808080">
                <a:alpha val="50000"/>
              </a:srgbClr>
            </a:outerShdw>
          </a:effectLst>
        </xdr:spPr>
        <xdr:txBody>
          <a:bodyPr vertOverflow="clip" wrap="square" lIns="27432" tIns="54864" rIns="27432" bIns="0" anchor="t" upright="1"/>
          <a:lstStyle/>
          <a:p>
            <a:pPr algn="ctr" rtl="1">
              <a:defRPr sz="1000"/>
            </a:pPr>
            <a:r>
              <a:rPr lang="fa-IR" sz="1000" b="1" i="0" strike="noStrike">
                <a:solidFill>
                  <a:srgbClr val="000000"/>
                </a:solidFill>
                <a:cs typeface="B Titr"/>
              </a:rPr>
              <a:t>بودجه توليد</a:t>
            </a:r>
          </a:p>
        </xdr:txBody>
      </xdr:sp>
      <xdr:sp macro="[1]!Oval15_Click" textlink="">
        <xdr:nvSpPr>
          <xdr:cNvPr id="104" name="Oval 18"/>
          <xdr:cNvSpPr>
            <a:spLocks noChangeArrowheads="1"/>
          </xdr:cNvSpPr>
        </xdr:nvSpPr>
        <xdr:spPr bwMode="auto">
          <a:xfrm>
            <a:off x="133" y="293"/>
            <a:ext cx="115" cy="53"/>
          </a:xfrm>
          <a:prstGeom prst="ellipse">
            <a:avLst/>
          </a:prstGeom>
          <a:gradFill rotWithShape="1">
            <a:gsLst>
              <a:gs pos="0">
                <a:srgbClr val="FFFFFF"/>
              </a:gs>
              <a:gs pos="100000">
                <a:srgbClr val="CCCCFF"/>
              </a:gs>
            </a:gsLst>
            <a:path path="shape">
              <a:fillToRect l="50000" t="50000" r="50000" b="50000"/>
            </a:path>
          </a:gradFill>
          <a:ln w="9525">
            <a:solidFill>
              <a:srgbClr val="FF00FF"/>
            </a:solidFill>
            <a:round/>
            <a:headEnd/>
            <a:tailEnd/>
          </a:ln>
          <a:effectLst>
            <a:outerShdw dist="107763" dir="2700000" algn="ctr" rotWithShape="0">
              <a:srgbClr val="808080">
                <a:alpha val="50000"/>
              </a:srgbClr>
            </a:outerShdw>
          </a:effectLst>
        </xdr:spPr>
        <xdr:txBody>
          <a:bodyPr vertOverflow="clip" wrap="square" lIns="27432" tIns="41148" rIns="27432" bIns="0" anchor="t" upright="1"/>
          <a:lstStyle/>
          <a:p>
            <a:pPr algn="ctr" rtl="1">
              <a:defRPr sz="1000"/>
            </a:pPr>
            <a:r>
              <a:rPr lang="fa-IR" sz="700" b="1" i="0" strike="noStrike">
                <a:solidFill>
                  <a:srgbClr val="000000"/>
                </a:solidFill>
                <a:cs typeface="B Titr"/>
              </a:rPr>
              <a:t>بودجه موجودي کالای پايان دوره</a:t>
            </a:r>
          </a:p>
        </xdr:txBody>
      </xdr:sp>
      <xdr:sp macro="[1]!Oval15_Click" textlink="">
        <xdr:nvSpPr>
          <xdr:cNvPr id="105" name="Oval 19"/>
          <xdr:cNvSpPr>
            <a:spLocks noChangeArrowheads="1"/>
          </xdr:cNvSpPr>
        </xdr:nvSpPr>
        <xdr:spPr bwMode="auto">
          <a:xfrm>
            <a:off x="268" y="405"/>
            <a:ext cx="116" cy="53"/>
          </a:xfrm>
          <a:prstGeom prst="ellipse">
            <a:avLst/>
          </a:prstGeom>
          <a:gradFill rotWithShape="1">
            <a:gsLst>
              <a:gs pos="0">
                <a:srgbClr val="FFFFFF"/>
              </a:gs>
              <a:gs pos="100000">
                <a:srgbClr val="CCCCFF"/>
              </a:gs>
            </a:gsLst>
            <a:path path="shape">
              <a:fillToRect l="50000" t="50000" r="50000" b="50000"/>
            </a:path>
          </a:gradFill>
          <a:ln w="9525">
            <a:solidFill>
              <a:srgbClr val="FF00FF"/>
            </a:solidFill>
            <a:round/>
            <a:headEnd/>
            <a:tailEnd/>
          </a:ln>
          <a:effectLst>
            <a:outerShdw dist="107763" dir="2700000" algn="ctr" rotWithShape="0">
              <a:srgbClr val="808080">
                <a:alpha val="50000"/>
              </a:srgbClr>
            </a:outerShdw>
          </a:effectLst>
        </xdr:spPr>
        <xdr:txBody>
          <a:bodyPr vertOverflow="clip" wrap="square" lIns="27432" tIns="41148" rIns="27432" bIns="0" anchor="t" upright="1"/>
          <a:lstStyle/>
          <a:p>
            <a:pPr algn="ctr" rtl="1">
              <a:defRPr sz="1000"/>
            </a:pPr>
            <a:r>
              <a:rPr lang="fa-IR" sz="700" b="1" i="0" strike="noStrike">
                <a:solidFill>
                  <a:srgbClr val="000000"/>
                </a:solidFill>
                <a:cs typeface="B Titr"/>
              </a:rPr>
              <a:t>بودجه دستمزد مستقيم</a:t>
            </a:r>
          </a:p>
        </xdr:txBody>
      </xdr:sp>
      <xdr:sp macro="[1]!Oval15_Click" textlink="">
        <xdr:nvSpPr>
          <xdr:cNvPr id="106" name="Oval 20"/>
          <xdr:cNvSpPr>
            <a:spLocks noChangeArrowheads="1"/>
          </xdr:cNvSpPr>
        </xdr:nvSpPr>
        <xdr:spPr bwMode="auto">
          <a:xfrm>
            <a:off x="133" y="404"/>
            <a:ext cx="115" cy="53"/>
          </a:xfrm>
          <a:prstGeom prst="ellipse">
            <a:avLst/>
          </a:prstGeom>
          <a:gradFill rotWithShape="1">
            <a:gsLst>
              <a:gs pos="0">
                <a:srgbClr val="FFFFFF"/>
              </a:gs>
              <a:gs pos="100000">
                <a:srgbClr val="CCCCFF"/>
              </a:gs>
            </a:gsLst>
            <a:path path="shape">
              <a:fillToRect l="50000" t="50000" r="50000" b="50000"/>
            </a:path>
          </a:gradFill>
          <a:ln w="9525">
            <a:solidFill>
              <a:srgbClr val="FF00FF"/>
            </a:solidFill>
            <a:round/>
            <a:headEnd/>
            <a:tailEnd/>
          </a:ln>
          <a:effectLst>
            <a:outerShdw dist="107763" dir="2700000" algn="ctr" rotWithShape="0">
              <a:srgbClr val="808080">
                <a:alpha val="50000"/>
              </a:srgbClr>
            </a:outerShdw>
          </a:effectLst>
        </xdr:spPr>
        <xdr:txBody>
          <a:bodyPr vertOverflow="clip" wrap="square" lIns="27432" tIns="50292" rIns="27432" bIns="0" anchor="t" upright="1"/>
          <a:lstStyle/>
          <a:p>
            <a:pPr algn="ctr" rtl="1">
              <a:defRPr sz="1000"/>
            </a:pPr>
            <a:r>
              <a:rPr lang="fa-IR" sz="800" b="1" i="0" strike="noStrike">
                <a:solidFill>
                  <a:srgbClr val="000000"/>
                </a:solidFill>
                <a:cs typeface="B Titr"/>
              </a:rPr>
              <a:t>بودجه مواد مستقيم</a:t>
            </a:r>
          </a:p>
        </xdr:txBody>
      </xdr:sp>
      <xdr:sp macro="[1]!Oval15_Click" textlink="">
        <xdr:nvSpPr>
          <xdr:cNvPr id="107" name="Oval 22"/>
          <xdr:cNvSpPr>
            <a:spLocks noChangeArrowheads="1"/>
          </xdr:cNvSpPr>
        </xdr:nvSpPr>
        <xdr:spPr bwMode="auto">
          <a:xfrm>
            <a:off x="270" y="478"/>
            <a:ext cx="115" cy="53"/>
          </a:xfrm>
          <a:prstGeom prst="ellipse">
            <a:avLst/>
          </a:prstGeom>
          <a:gradFill rotWithShape="1">
            <a:gsLst>
              <a:gs pos="0">
                <a:srgbClr val="FFFFFF"/>
              </a:gs>
              <a:gs pos="100000">
                <a:srgbClr val="CCCCFF"/>
              </a:gs>
            </a:gsLst>
            <a:path path="shape">
              <a:fillToRect l="50000" t="50000" r="50000" b="50000"/>
            </a:path>
          </a:gradFill>
          <a:ln w="9525">
            <a:solidFill>
              <a:srgbClr val="FF00FF"/>
            </a:solidFill>
            <a:round/>
            <a:headEnd/>
            <a:tailEnd/>
          </a:ln>
          <a:effectLst>
            <a:outerShdw dist="107763" dir="2700000" algn="ctr" rotWithShape="0">
              <a:srgbClr val="808080">
                <a:alpha val="50000"/>
              </a:srgbClr>
            </a:outerShdw>
          </a:effectLst>
        </xdr:spPr>
        <xdr:txBody>
          <a:bodyPr vertOverflow="clip" wrap="square" lIns="27432" tIns="41148" rIns="27432" bIns="0" anchor="t" upright="1"/>
          <a:lstStyle/>
          <a:p>
            <a:pPr algn="ctr" rtl="1">
              <a:defRPr sz="1000"/>
            </a:pPr>
            <a:r>
              <a:rPr lang="fa-IR" sz="700" b="1" i="0" strike="noStrike">
                <a:solidFill>
                  <a:srgbClr val="000000"/>
                </a:solidFill>
                <a:cs typeface="B Titr"/>
              </a:rPr>
              <a:t>بودجه بهاي تمام شده كالاي فروش رفته</a:t>
            </a:r>
          </a:p>
        </xdr:txBody>
      </xdr:sp>
      <xdr:sp macro="[1]!Oval15_Click" textlink="">
        <xdr:nvSpPr>
          <xdr:cNvPr id="108" name="Oval 24"/>
          <xdr:cNvSpPr>
            <a:spLocks noChangeArrowheads="1"/>
          </xdr:cNvSpPr>
        </xdr:nvSpPr>
        <xdr:spPr bwMode="auto">
          <a:xfrm>
            <a:off x="271" y="549"/>
            <a:ext cx="115" cy="53"/>
          </a:xfrm>
          <a:prstGeom prst="ellipse">
            <a:avLst/>
          </a:prstGeom>
          <a:gradFill rotWithShape="1">
            <a:gsLst>
              <a:gs pos="0">
                <a:srgbClr val="FFFFFF"/>
              </a:gs>
              <a:gs pos="100000">
                <a:srgbClr val="CCCCFF"/>
              </a:gs>
            </a:gsLst>
            <a:path path="shape">
              <a:fillToRect l="50000" t="50000" r="50000" b="50000"/>
            </a:path>
          </a:gradFill>
          <a:ln w="9525">
            <a:solidFill>
              <a:srgbClr val="FF00FF"/>
            </a:solidFill>
            <a:round/>
            <a:headEnd/>
            <a:tailEnd/>
          </a:ln>
          <a:effectLst>
            <a:outerShdw dist="107763" dir="2700000" algn="ctr" rotWithShape="0">
              <a:srgbClr val="808080">
                <a:alpha val="50000"/>
              </a:srgbClr>
            </a:outerShdw>
          </a:effectLst>
        </xdr:spPr>
        <xdr:txBody>
          <a:bodyPr vertOverflow="clip" wrap="square" lIns="27432" tIns="41148" rIns="27432" bIns="0" anchor="t" upright="1"/>
          <a:lstStyle/>
          <a:p>
            <a:pPr algn="ctr" rtl="1">
              <a:defRPr sz="1000"/>
            </a:pPr>
            <a:r>
              <a:rPr lang="fa-IR" sz="700" b="1" i="0" strike="noStrike">
                <a:solidFill>
                  <a:srgbClr val="000000"/>
                </a:solidFill>
                <a:cs typeface="B Titr"/>
              </a:rPr>
              <a:t>بودجه هزينه هاي فروش</a:t>
            </a:r>
          </a:p>
        </xdr:txBody>
      </xdr:sp>
      <xdr:sp macro="[1]!Oval15_Click" textlink="">
        <xdr:nvSpPr>
          <xdr:cNvPr id="109" name="Oval 25"/>
          <xdr:cNvSpPr>
            <a:spLocks noChangeArrowheads="1"/>
          </xdr:cNvSpPr>
        </xdr:nvSpPr>
        <xdr:spPr bwMode="auto">
          <a:xfrm>
            <a:off x="270" y="622"/>
            <a:ext cx="115" cy="53"/>
          </a:xfrm>
          <a:prstGeom prst="ellipse">
            <a:avLst/>
          </a:prstGeom>
          <a:gradFill rotWithShape="1">
            <a:gsLst>
              <a:gs pos="0">
                <a:srgbClr val="FFFFFF"/>
              </a:gs>
              <a:gs pos="100000">
                <a:srgbClr val="CCCCFF"/>
              </a:gs>
            </a:gsLst>
            <a:path path="shape">
              <a:fillToRect l="50000" t="50000" r="50000" b="50000"/>
            </a:path>
          </a:gradFill>
          <a:ln w="9525">
            <a:solidFill>
              <a:srgbClr val="FF00FF"/>
            </a:solidFill>
            <a:round/>
            <a:headEnd/>
            <a:tailEnd/>
          </a:ln>
          <a:effectLst>
            <a:outerShdw dist="107763" dir="2700000" algn="ctr" rotWithShape="0">
              <a:srgbClr val="808080">
                <a:alpha val="50000"/>
              </a:srgbClr>
            </a:outerShdw>
          </a:effectLst>
        </xdr:spPr>
        <xdr:txBody>
          <a:bodyPr vertOverflow="clip" wrap="square" lIns="27432" tIns="41148" rIns="27432" bIns="0" anchor="t" upright="1"/>
          <a:lstStyle/>
          <a:p>
            <a:pPr algn="ctr" rtl="1">
              <a:defRPr sz="1000"/>
            </a:pPr>
            <a:r>
              <a:rPr lang="fa-IR" sz="700" b="1" i="0" strike="noStrike">
                <a:solidFill>
                  <a:srgbClr val="000000"/>
                </a:solidFill>
                <a:cs typeface="B Titr"/>
              </a:rPr>
              <a:t>بودجه هزينه هاي اداري</a:t>
            </a:r>
          </a:p>
        </xdr:txBody>
      </xdr:sp>
      <xdr:sp macro="[1]!Oval15_Click" textlink="">
        <xdr:nvSpPr>
          <xdr:cNvPr id="110" name="Oval 26"/>
          <xdr:cNvSpPr>
            <a:spLocks noChangeArrowheads="1"/>
          </xdr:cNvSpPr>
        </xdr:nvSpPr>
        <xdr:spPr bwMode="auto">
          <a:xfrm>
            <a:off x="232" y="700"/>
            <a:ext cx="191" cy="51"/>
          </a:xfrm>
          <a:prstGeom prst="ellipse">
            <a:avLst/>
          </a:prstGeom>
          <a:gradFill rotWithShape="1">
            <a:gsLst>
              <a:gs pos="0">
                <a:srgbClr val="FFFFFF"/>
              </a:gs>
              <a:gs pos="100000">
                <a:srgbClr val="CCCCFF"/>
              </a:gs>
            </a:gsLst>
            <a:path path="shape">
              <a:fillToRect l="50000" t="50000" r="50000" b="50000"/>
            </a:path>
          </a:gradFill>
          <a:ln w="9525">
            <a:solidFill>
              <a:srgbClr val="FF00FF"/>
            </a:solidFill>
            <a:round/>
            <a:headEnd/>
            <a:tailEnd/>
          </a:ln>
          <a:effectLst>
            <a:outerShdw dist="107763" dir="2700000" algn="ctr" rotWithShape="0">
              <a:srgbClr val="808080">
                <a:alpha val="50000"/>
              </a:srgbClr>
            </a:outerShdw>
          </a:effectLst>
        </xdr:spPr>
        <xdr:txBody>
          <a:bodyPr vertOverflow="clip" wrap="square" lIns="27432" tIns="41148" rIns="27432" bIns="0" anchor="t" upright="1"/>
          <a:lstStyle/>
          <a:p>
            <a:pPr algn="ctr" rtl="1">
              <a:defRPr sz="1000"/>
            </a:pPr>
            <a:r>
              <a:rPr lang="fa-IR" sz="700" b="1" i="0" strike="noStrike">
                <a:solidFill>
                  <a:srgbClr val="000000"/>
                </a:solidFill>
                <a:cs typeface="B Titr"/>
              </a:rPr>
              <a:t>صورت سود وزيان بودجه شده</a:t>
            </a:r>
          </a:p>
        </xdr:txBody>
      </xdr:sp>
      <xdr:sp macro="[1]!Oval15_Click" textlink="">
        <xdr:nvSpPr>
          <xdr:cNvPr id="111" name="Oval 27"/>
          <xdr:cNvSpPr>
            <a:spLocks noChangeArrowheads="1"/>
          </xdr:cNvSpPr>
        </xdr:nvSpPr>
        <xdr:spPr bwMode="auto">
          <a:xfrm>
            <a:off x="267" y="773"/>
            <a:ext cx="115" cy="53"/>
          </a:xfrm>
          <a:prstGeom prst="ellipse">
            <a:avLst/>
          </a:prstGeom>
          <a:gradFill rotWithShape="1">
            <a:gsLst>
              <a:gs pos="0">
                <a:srgbClr val="FFFFFF"/>
              </a:gs>
              <a:gs pos="100000">
                <a:srgbClr val="CCCCFF"/>
              </a:gs>
            </a:gsLst>
            <a:path path="shape">
              <a:fillToRect l="50000" t="50000" r="50000" b="50000"/>
            </a:path>
          </a:gradFill>
          <a:ln w="9525">
            <a:solidFill>
              <a:srgbClr val="FF00FF"/>
            </a:solidFill>
            <a:round/>
            <a:headEnd/>
            <a:tailEnd/>
          </a:ln>
          <a:effectLst>
            <a:outerShdw dist="107763" dir="2700000" algn="ctr" rotWithShape="0">
              <a:srgbClr val="808080">
                <a:alpha val="50000"/>
              </a:srgbClr>
            </a:outerShdw>
          </a:effectLst>
        </xdr:spPr>
        <xdr:txBody>
          <a:bodyPr vertOverflow="clip" wrap="square" lIns="27432" tIns="50292" rIns="27432" bIns="0" anchor="t" upright="1"/>
          <a:lstStyle/>
          <a:p>
            <a:pPr algn="ctr" rtl="1">
              <a:defRPr sz="1000"/>
            </a:pPr>
            <a:r>
              <a:rPr lang="fa-IR" sz="800" b="1" i="0" strike="noStrike">
                <a:solidFill>
                  <a:srgbClr val="000000"/>
                </a:solidFill>
                <a:cs typeface="B Titr"/>
              </a:rPr>
              <a:t>ترازنامه بودجه اي</a:t>
            </a:r>
          </a:p>
        </xdr:txBody>
      </xdr:sp>
      <xdr:sp macro="[1]!Oval15_Click" textlink="">
        <xdr:nvSpPr>
          <xdr:cNvPr id="112" name="Oval 28"/>
          <xdr:cNvSpPr>
            <a:spLocks noChangeArrowheads="1"/>
          </xdr:cNvSpPr>
        </xdr:nvSpPr>
        <xdr:spPr bwMode="auto">
          <a:xfrm>
            <a:off x="137" y="773"/>
            <a:ext cx="115" cy="53"/>
          </a:xfrm>
          <a:prstGeom prst="ellipse">
            <a:avLst/>
          </a:prstGeom>
          <a:gradFill rotWithShape="1">
            <a:gsLst>
              <a:gs pos="0">
                <a:srgbClr val="FFFFFF"/>
              </a:gs>
              <a:gs pos="100000">
                <a:srgbClr val="CCCCFF"/>
              </a:gs>
            </a:gsLst>
            <a:path path="shape">
              <a:fillToRect l="50000" t="50000" r="50000" b="50000"/>
            </a:path>
          </a:gradFill>
          <a:ln w="9525">
            <a:solidFill>
              <a:srgbClr val="FF00FF"/>
            </a:solidFill>
            <a:round/>
            <a:headEnd/>
            <a:tailEnd/>
          </a:ln>
          <a:effectLst>
            <a:outerShdw dist="107763" dir="2700000" algn="ctr" rotWithShape="0">
              <a:srgbClr val="808080">
                <a:alpha val="50000"/>
              </a:srgbClr>
            </a:outerShdw>
          </a:effectLst>
        </xdr:spPr>
        <xdr:txBody>
          <a:bodyPr vertOverflow="clip" wrap="square" lIns="27432" tIns="50292" rIns="27432" bIns="0" anchor="t" upright="1"/>
          <a:lstStyle/>
          <a:p>
            <a:pPr algn="ctr" rtl="1">
              <a:defRPr sz="1000"/>
            </a:pPr>
            <a:r>
              <a:rPr lang="fa-IR" sz="800" b="1" i="0" strike="noStrike">
                <a:solidFill>
                  <a:srgbClr val="000000"/>
                </a:solidFill>
                <a:cs typeface="B Titr"/>
              </a:rPr>
              <a:t>بودجه نقدي</a:t>
            </a:r>
          </a:p>
        </xdr:txBody>
      </xdr:sp>
      <xdr:sp macro="[1]!Oval15_Click" textlink="">
        <xdr:nvSpPr>
          <xdr:cNvPr id="113" name="Oval 29"/>
          <xdr:cNvSpPr>
            <a:spLocks noChangeArrowheads="1"/>
          </xdr:cNvSpPr>
        </xdr:nvSpPr>
        <xdr:spPr bwMode="auto">
          <a:xfrm>
            <a:off x="4" y="773"/>
            <a:ext cx="115" cy="53"/>
          </a:xfrm>
          <a:prstGeom prst="ellipse">
            <a:avLst/>
          </a:prstGeom>
          <a:gradFill rotWithShape="1">
            <a:gsLst>
              <a:gs pos="0">
                <a:srgbClr val="FFFFFF"/>
              </a:gs>
              <a:gs pos="100000">
                <a:srgbClr val="CCCCFF"/>
              </a:gs>
            </a:gsLst>
            <a:path path="shape">
              <a:fillToRect l="50000" t="50000" r="50000" b="50000"/>
            </a:path>
          </a:gradFill>
          <a:ln w="9525">
            <a:solidFill>
              <a:srgbClr val="FF00FF"/>
            </a:solidFill>
            <a:round/>
            <a:headEnd/>
            <a:tailEnd/>
          </a:ln>
          <a:effectLst>
            <a:outerShdw dist="107763" dir="2700000" algn="ctr" rotWithShape="0">
              <a:srgbClr val="808080">
                <a:alpha val="50000"/>
              </a:srgbClr>
            </a:outerShdw>
          </a:effectLst>
        </xdr:spPr>
        <xdr:txBody>
          <a:bodyPr vertOverflow="clip" wrap="square" lIns="27432" tIns="41148" rIns="27432" bIns="0" anchor="t" upright="1"/>
          <a:lstStyle/>
          <a:p>
            <a:pPr algn="ctr" rtl="1">
              <a:defRPr sz="1000"/>
            </a:pPr>
            <a:r>
              <a:rPr lang="fa-IR" sz="700" b="1" i="0" strike="noStrike">
                <a:solidFill>
                  <a:srgbClr val="000000"/>
                </a:solidFill>
                <a:cs typeface="B Titr"/>
              </a:rPr>
              <a:t>بودجه هزينه هاي سرمايه اي</a:t>
            </a:r>
          </a:p>
        </xdr:txBody>
      </xdr:sp>
      <xdr:sp macro="[1]!Oval15_Click" textlink="">
        <xdr:nvSpPr>
          <xdr:cNvPr id="114" name="Oval 30"/>
          <xdr:cNvSpPr>
            <a:spLocks noChangeArrowheads="1"/>
          </xdr:cNvSpPr>
        </xdr:nvSpPr>
        <xdr:spPr bwMode="auto">
          <a:xfrm>
            <a:off x="419" y="773"/>
            <a:ext cx="176" cy="55"/>
          </a:xfrm>
          <a:prstGeom prst="ellipse">
            <a:avLst/>
          </a:prstGeom>
          <a:gradFill rotWithShape="1">
            <a:gsLst>
              <a:gs pos="0">
                <a:srgbClr val="FFFFFF"/>
              </a:gs>
              <a:gs pos="100000">
                <a:srgbClr val="CCCCFF"/>
              </a:gs>
            </a:gsLst>
            <a:path path="shape">
              <a:fillToRect l="50000" t="50000" r="50000" b="50000"/>
            </a:path>
          </a:gradFill>
          <a:ln w="9525">
            <a:solidFill>
              <a:srgbClr val="FF00FF"/>
            </a:solidFill>
            <a:round/>
            <a:headEnd/>
            <a:tailEnd/>
          </a:ln>
          <a:effectLst>
            <a:outerShdw dist="107763" dir="2700000" algn="ctr" rotWithShape="0">
              <a:srgbClr val="808080">
                <a:alpha val="50000"/>
              </a:srgbClr>
            </a:outerShdw>
          </a:effectLst>
        </xdr:spPr>
        <xdr:txBody>
          <a:bodyPr vertOverflow="clip" wrap="square" lIns="27432" tIns="41148" rIns="27432" bIns="0" anchor="t" upright="1"/>
          <a:lstStyle/>
          <a:p>
            <a:pPr algn="ctr" rtl="1">
              <a:defRPr sz="1000"/>
            </a:pPr>
            <a:r>
              <a:rPr lang="fa-IR" sz="700" b="1" i="0" strike="noStrike">
                <a:solidFill>
                  <a:srgbClr val="000000"/>
                </a:solidFill>
                <a:cs typeface="B Titr"/>
              </a:rPr>
              <a:t>صورت جريان وجوه  نقد بودجه اي</a:t>
            </a:r>
          </a:p>
        </xdr:txBody>
      </xdr:sp>
      <xdr:sp macro="[1]!Oval15_Click" textlink="">
        <xdr:nvSpPr>
          <xdr:cNvPr id="115" name="Oval 31"/>
          <xdr:cNvSpPr>
            <a:spLocks noChangeArrowheads="1"/>
          </xdr:cNvSpPr>
        </xdr:nvSpPr>
        <xdr:spPr bwMode="auto">
          <a:xfrm>
            <a:off x="403" y="405"/>
            <a:ext cx="115" cy="53"/>
          </a:xfrm>
          <a:prstGeom prst="ellipse">
            <a:avLst/>
          </a:prstGeom>
          <a:gradFill rotWithShape="1">
            <a:gsLst>
              <a:gs pos="0">
                <a:srgbClr val="FFFFFF"/>
              </a:gs>
              <a:gs pos="100000">
                <a:srgbClr val="CCCCFF"/>
              </a:gs>
            </a:gsLst>
            <a:path path="shape">
              <a:fillToRect l="50000" t="50000" r="50000" b="50000"/>
            </a:path>
          </a:gradFill>
          <a:ln w="9525">
            <a:solidFill>
              <a:srgbClr val="FF00FF"/>
            </a:solidFill>
            <a:round/>
            <a:headEnd/>
            <a:tailEnd/>
          </a:ln>
          <a:effectLst>
            <a:outerShdw dist="107763" dir="2700000" algn="ctr" rotWithShape="0">
              <a:srgbClr val="808080">
                <a:alpha val="50000"/>
              </a:srgbClr>
            </a:outerShdw>
          </a:effectLst>
        </xdr:spPr>
        <xdr:txBody>
          <a:bodyPr vertOverflow="clip" wrap="square" lIns="27432" tIns="41148" rIns="27432" bIns="0" anchor="t" upright="1"/>
          <a:lstStyle/>
          <a:p>
            <a:pPr algn="ctr" rtl="1">
              <a:defRPr sz="1000"/>
            </a:pPr>
            <a:r>
              <a:rPr lang="fa-IR" sz="700" b="1" i="0" strike="noStrike">
                <a:solidFill>
                  <a:srgbClr val="000000"/>
                </a:solidFill>
                <a:cs typeface="B Titr"/>
              </a:rPr>
              <a:t>بودجه سربار ساخت</a:t>
            </a:r>
          </a:p>
        </xdr:txBody>
      </xdr:sp>
      <xdr:sp macro="[1]!Oval15_Click" textlink="">
        <xdr:nvSpPr>
          <xdr:cNvPr id="116" name="Oval 32"/>
          <xdr:cNvSpPr>
            <a:spLocks noChangeArrowheads="1"/>
          </xdr:cNvSpPr>
        </xdr:nvSpPr>
        <xdr:spPr bwMode="auto">
          <a:xfrm>
            <a:off x="269" y="141"/>
            <a:ext cx="118" cy="55"/>
          </a:xfrm>
          <a:prstGeom prst="ellipse">
            <a:avLst/>
          </a:prstGeom>
          <a:gradFill rotWithShape="1">
            <a:gsLst>
              <a:gs pos="0">
                <a:srgbClr val="FFFFFF"/>
              </a:gs>
              <a:gs pos="100000">
                <a:srgbClr val="CCCCFF"/>
              </a:gs>
            </a:gsLst>
            <a:path path="shape">
              <a:fillToRect l="50000" t="50000" r="50000" b="50000"/>
            </a:path>
          </a:gradFill>
          <a:ln w="9525">
            <a:solidFill>
              <a:srgbClr val="FF00FF"/>
            </a:solidFill>
            <a:round/>
            <a:headEnd/>
            <a:tailEnd/>
          </a:ln>
          <a:effectLst>
            <a:outerShdw dist="107763" dir="2700000" algn="ctr" rotWithShape="0">
              <a:srgbClr val="808080">
                <a:alpha val="50000"/>
              </a:srgbClr>
            </a:outerShdw>
          </a:effectLst>
        </xdr:spPr>
        <xdr:txBody>
          <a:bodyPr vertOverflow="clip" wrap="square" lIns="27432" tIns="54864" rIns="27432" bIns="0" anchor="t" upright="1"/>
          <a:lstStyle/>
          <a:p>
            <a:pPr algn="ctr" rtl="1">
              <a:defRPr sz="1000"/>
            </a:pPr>
            <a:r>
              <a:rPr lang="fa-IR" sz="1000" b="1" i="0" strike="noStrike">
                <a:solidFill>
                  <a:srgbClr val="000000"/>
                </a:solidFill>
                <a:cs typeface="B Titr"/>
              </a:rPr>
              <a:t>داده ها</a:t>
            </a:r>
          </a:p>
        </xdr:txBody>
      </xdr:sp>
      <xdr:sp macro="[1]!Oval15_Click" textlink="">
        <xdr:nvSpPr>
          <xdr:cNvPr id="117" name="Oval 33">
            <a:hlinkClick xmlns:r="http://schemas.openxmlformats.org/officeDocument/2006/relationships" r:id="rId1"/>
          </xdr:cNvPr>
          <xdr:cNvSpPr>
            <a:spLocks noChangeArrowheads="1"/>
          </xdr:cNvSpPr>
        </xdr:nvSpPr>
        <xdr:spPr bwMode="auto">
          <a:xfrm>
            <a:off x="442" y="847"/>
            <a:ext cx="115" cy="53"/>
          </a:xfrm>
          <a:prstGeom prst="ellipse">
            <a:avLst/>
          </a:prstGeom>
          <a:gradFill rotWithShape="1">
            <a:gsLst>
              <a:gs pos="0">
                <a:srgbClr val="FFFFFF"/>
              </a:gs>
              <a:gs pos="100000">
                <a:srgbClr val="CCCCFF"/>
              </a:gs>
            </a:gsLst>
            <a:path path="shape">
              <a:fillToRect l="50000" t="50000" r="50000" b="50000"/>
            </a:path>
          </a:gradFill>
          <a:ln w="9525">
            <a:solidFill>
              <a:srgbClr val="FF00FF"/>
            </a:solidFill>
            <a:round/>
            <a:headEnd/>
            <a:tailEnd/>
          </a:ln>
          <a:effectLst>
            <a:outerShdw dist="107763" dir="2700000" algn="ctr" rotWithShape="0">
              <a:srgbClr val="808080">
                <a:alpha val="50000"/>
              </a:srgbClr>
            </a:outerShdw>
          </a:effectLst>
        </xdr:spPr>
        <xdr:txBody>
          <a:bodyPr vertOverflow="clip" wrap="square" lIns="36576" tIns="54864" rIns="36576" bIns="0" anchor="t" upright="1"/>
          <a:lstStyle/>
          <a:p>
            <a:pPr algn="ctr" rtl="1">
              <a:defRPr sz="1000"/>
            </a:pPr>
            <a:r>
              <a:rPr lang="fa-IR" sz="1600" b="0" i="0" strike="noStrike">
                <a:solidFill>
                  <a:srgbClr val="000000"/>
                </a:solidFill>
                <a:cs typeface="B Jadid"/>
              </a:rPr>
              <a:t>پايان</a:t>
            </a:r>
          </a:p>
        </xdr:txBody>
      </xdr:sp>
    </xdr:grpSp>
    <xdr:clientData/>
  </xdr:twoCellAnchor>
  <xdr:twoCellAnchor>
    <xdr:from>
      <xdr:col>9</xdr:col>
      <xdr:colOff>276225</xdr:colOff>
      <xdr:row>11</xdr:row>
      <xdr:rowOff>57150</xdr:rowOff>
    </xdr:from>
    <xdr:to>
      <xdr:col>9</xdr:col>
      <xdr:colOff>276225</xdr:colOff>
      <xdr:row>31</xdr:row>
      <xdr:rowOff>0</xdr:rowOff>
    </xdr:to>
    <xdr:sp macro="[1]!Oval15_Click" textlink="">
      <xdr:nvSpPr>
        <xdr:cNvPr id="121" name="Line 39"/>
        <xdr:cNvSpPr>
          <a:spLocks noChangeShapeType="1"/>
        </xdr:cNvSpPr>
      </xdr:nvSpPr>
      <xdr:spPr bwMode="auto">
        <a:xfrm>
          <a:off x="5762625" y="1838325"/>
          <a:ext cx="0" cy="31813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95250</xdr:colOff>
      <xdr:row>4</xdr:row>
      <xdr:rowOff>0</xdr:rowOff>
    </xdr:from>
    <xdr:to>
      <xdr:col>6</xdr:col>
      <xdr:colOff>95250</xdr:colOff>
      <xdr:row>5</xdr:row>
      <xdr:rowOff>57150</xdr:rowOff>
    </xdr:to>
    <xdr:sp macro="[1]!Oval15_Click" textlink="">
      <xdr:nvSpPr>
        <xdr:cNvPr id="122" name="Line 48"/>
        <xdr:cNvSpPr>
          <a:spLocks noChangeShapeType="1"/>
        </xdr:cNvSpPr>
      </xdr:nvSpPr>
      <xdr:spPr bwMode="auto">
        <a:xfrm>
          <a:off x="3752850" y="647700"/>
          <a:ext cx="0" cy="2190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76200</xdr:colOff>
      <xdr:row>8</xdr:row>
      <xdr:rowOff>66675</xdr:rowOff>
    </xdr:from>
    <xdr:to>
      <xdr:col>6</xdr:col>
      <xdr:colOff>76200</xdr:colOff>
      <xdr:row>9</xdr:row>
      <xdr:rowOff>123825</xdr:rowOff>
    </xdr:to>
    <xdr:sp macro="[1]!Oval15_Click" textlink="">
      <xdr:nvSpPr>
        <xdr:cNvPr id="123" name="Line 49"/>
        <xdr:cNvSpPr>
          <a:spLocks noChangeShapeType="1"/>
        </xdr:cNvSpPr>
      </xdr:nvSpPr>
      <xdr:spPr bwMode="auto">
        <a:xfrm>
          <a:off x="3733800" y="1362075"/>
          <a:ext cx="0" cy="2190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95250</xdr:colOff>
      <xdr:row>12</xdr:row>
      <xdr:rowOff>123825</xdr:rowOff>
    </xdr:from>
    <xdr:to>
      <xdr:col>6</xdr:col>
      <xdr:colOff>95250</xdr:colOff>
      <xdr:row>14</xdr:row>
      <xdr:rowOff>19050</xdr:rowOff>
    </xdr:to>
    <xdr:sp macro="[1]!Oval15_Click" textlink="">
      <xdr:nvSpPr>
        <xdr:cNvPr id="124" name="Line 50"/>
        <xdr:cNvSpPr>
          <a:spLocks noChangeShapeType="1"/>
        </xdr:cNvSpPr>
      </xdr:nvSpPr>
      <xdr:spPr bwMode="auto">
        <a:xfrm>
          <a:off x="3752850" y="2066925"/>
          <a:ext cx="0" cy="2190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76200</xdr:colOff>
      <xdr:row>23</xdr:row>
      <xdr:rowOff>133350</xdr:rowOff>
    </xdr:from>
    <xdr:to>
      <xdr:col>6</xdr:col>
      <xdr:colOff>76200</xdr:colOff>
      <xdr:row>25</xdr:row>
      <xdr:rowOff>28575</xdr:rowOff>
    </xdr:to>
    <xdr:sp macro="[1]!Oval15_Click" textlink="">
      <xdr:nvSpPr>
        <xdr:cNvPr id="125" name="Line 51"/>
        <xdr:cNvSpPr>
          <a:spLocks noChangeShapeType="1"/>
        </xdr:cNvSpPr>
      </xdr:nvSpPr>
      <xdr:spPr bwMode="auto">
        <a:xfrm>
          <a:off x="3733800" y="3857625"/>
          <a:ext cx="0" cy="2190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0</xdr:rowOff>
    </xdr:from>
    <xdr:to>
      <xdr:col>6</xdr:col>
      <xdr:colOff>66675</xdr:colOff>
      <xdr:row>29</xdr:row>
      <xdr:rowOff>57150</xdr:rowOff>
    </xdr:to>
    <xdr:sp macro="[1]!Oval15_Click" textlink="">
      <xdr:nvSpPr>
        <xdr:cNvPr id="126" name="Line 52"/>
        <xdr:cNvSpPr>
          <a:spLocks noChangeShapeType="1"/>
        </xdr:cNvSpPr>
      </xdr:nvSpPr>
      <xdr:spPr bwMode="auto">
        <a:xfrm>
          <a:off x="3724275" y="4533900"/>
          <a:ext cx="0" cy="2190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32</xdr:row>
      <xdr:rowOff>38100</xdr:rowOff>
    </xdr:from>
    <xdr:to>
      <xdr:col>6</xdr:col>
      <xdr:colOff>66675</xdr:colOff>
      <xdr:row>33</xdr:row>
      <xdr:rowOff>95250</xdr:rowOff>
    </xdr:to>
    <xdr:sp macro="[1]!Oval15_Click" textlink="">
      <xdr:nvSpPr>
        <xdr:cNvPr id="127" name="Line 53"/>
        <xdr:cNvSpPr>
          <a:spLocks noChangeShapeType="1"/>
        </xdr:cNvSpPr>
      </xdr:nvSpPr>
      <xdr:spPr bwMode="auto">
        <a:xfrm>
          <a:off x="3724275" y="5219700"/>
          <a:ext cx="0" cy="2190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76200</xdr:colOff>
      <xdr:row>36</xdr:row>
      <xdr:rowOff>114300</xdr:rowOff>
    </xdr:from>
    <xdr:to>
      <xdr:col>6</xdr:col>
      <xdr:colOff>76200</xdr:colOff>
      <xdr:row>38</xdr:row>
      <xdr:rowOff>9525</xdr:rowOff>
    </xdr:to>
    <xdr:sp macro="[1]!Oval15_Click" textlink="">
      <xdr:nvSpPr>
        <xdr:cNvPr id="128" name="Line 54"/>
        <xdr:cNvSpPr>
          <a:spLocks noChangeShapeType="1"/>
        </xdr:cNvSpPr>
      </xdr:nvSpPr>
      <xdr:spPr bwMode="auto">
        <a:xfrm>
          <a:off x="3733800" y="5943600"/>
          <a:ext cx="0" cy="2190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85725</xdr:colOff>
      <xdr:row>41</xdr:row>
      <xdr:rowOff>9525</xdr:rowOff>
    </xdr:from>
    <xdr:to>
      <xdr:col>6</xdr:col>
      <xdr:colOff>85725</xdr:colOff>
      <xdr:row>42</xdr:row>
      <xdr:rowOff>66675</xdr:rowOff>
    </xdr:to>
    <xdr:sp macro="[1]!Oval15_Click" textlink="">
      <xdr:nvSpPr>
        <xdr:cNvPr id="129" name="Line 55"/>
        <xdr:cNvSpPr>
          <a:spLocks noChangeShapeType="1"/>
        </xdr:cNvSpPr>
      </xdr:nvSpPr>
      <xdr:spPr bwMode="auto">
        <a:xfrm>
          <a:off x="3743325" y="6648450"/>
          <a:ext cx="0" cy="2190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104775</xdr:colOff>
      <xdr:row>17</xdr:row>
      <xdr:rowOff>57150</xdr:rowOff>
    </xdr:from>
    <xdr:to>
      <xdr:col>6</xdr:col>
      <xdr:colOff>104775</xdr:colOff>
      <xdr:row>19</xdr:row>
      <xdr:rowOff>0</xdr:rowOff>
    </xdr:to>
    <xdr:sp macro="[1]!Oval15_Click" textlink="">
      <xdr:nvSpPr>
        <xdr:cNvPr id="134" name="Line 63"/>
        <xdr:cNvSpPr>
          <a:spLocks noChangeShapeType="1"/>
        </xdr:cNvSpPr>
      </xdr:nvSpPr>
      <xdr:spPr bwMode="auto">
        <a:xfrm>
          <a:off x="3762375" y="2809875"/>
          <a:ext cx="0" cy="2667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600075</xdr:colOff>
      <xdr:row>19</xdr:row>
      <xdr:rowOff>0</xdr:rowOff>
    </xdr:from>
    <xdr:to>
      <xdr:col>8</xdr:col>
      <xdr:colOff>161925</xdr:colOff>
      <xdr:row>19</xdr:row>
      <xdr:rowOff>0</xdr:rowOff>
    </xdr:to>
    <xdr:sp macro="[1]!Oval15_Click" textlink="">
      <xdr:nvSpPr>
        <xdr:cNvPr id="135" name="Line 65"/>
        <xdr:cNvSpPr>
          <a:spLocks noChangeShapeType="1"/>
        </xdr:cNvSpPr>
      </xdr:nvSpPr>
      <xdr:spPr bwMode="auto">
        <a:xfrm flipH="1">
          <a:off x="2428875" y="3076575"/>
          <a:ext cx="2609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161925</xdr:colOff>
      <xdr:row>19</xdr:row>
      <xdr:rowOff>0</xdr:rowOff>
    </xdr:from>
    <xdr:to>
      <xdr:col>8</xdr:col>
      <xdr:colOff>161925</xdr:colOff>
      <xdr:row>20</xdr:row>
      <xdr:rowOff>104775</xdr:rowOff>
    </xdr:to>
    <xdr:sp macro="[1]!Oval15_Click" textlink="">
      <xdr:nvSpPr>
        <xdr:cNvPr id="136" name="Line 66"/>
        <xdr:cNvSpPr>
          <a:spLocks noChangeShapeType="1"/>
        </xdr:cNvSpPr>
      </xdr:nvSpPr>
      <xdr:spPr bwMode="auto">
        <a:xfrm>
          <a:off x="5038725" y="3076575"/>
          <a:ext cx="0" cy="2667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104775</xdr:colOff>
      <xdr:row>19</xdr:row>
      <xdr:rowOff>0</xdr:rowOff>
    </xdr:from>
    <xdr:to>
      <xdr:col>6</xdr:col>
      <xdr:colOff>104775</xdr:colOff>
      <xdr:row>20</xdr:row>
      <xdr:rowOff>104775</xdr:rowOff>
    </xdr:to>
    <xdr:sp macro="[1]!Oval15_Click" textlink="">
      <xdr:nvSpPr>
        <xdr:cNvPr id="137" name="Line 67"/>
        <xdr:cNvSpPr>
          <a:spLocks noChangeShapeType="1"/>
        </xdr:cNvSpPr>
      </xdr:nvSpPr>
      <xdr:spPr bwMode="auto">
        <a:xfrm>
          <a:off x="3762375" y="3076575"/>
          <a:ext cx="0" cy="2667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600075</xdr:colOff>
      <xdr:row>19</xdr:row>
      <xdr:rowOff>0</xdr:rowOff>
    </xdr:from>
    <xdr:to>
      <xdr:col>3</xdr:col>
      <xdr:colOff>600075</xdr:colOff>
      <xdr:row>20</xdr:row>
      <xdr:rowOff>104775</xdr:rowOff>
    </xdr:to>
    <xdr:sp macro="[1]!Oval15_Click" textlink="">
      <xdr:nvSpPr>
        <xdr:cNvPr id="138" name="Line 68"/>
        <xdr:cNvSpPr>
          <a:spLocks noChangeShapeType="1"/>
        </xdr:cNvSpPr>
      </xdr:nvSpPr>
      <xdr:spPr bwMode="auto">
        <a:xfrm>
          <a:off x="2428875" y="3076575"/>
          <a:ext cx="0" cy="2667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142875</xdr:colOff>
      <xdr:row>23</xdr:row>
      <xdr:rowOff>152400</xdr:rowOff>
    </xdr:from>
    <xdr:to>
      <xdr:col>8</xdr:col>
      <xdr:colOff>142875</xdr:colOff>
      <xdr:row>26</xdr:row>
      <xdr:rowOff>133350</xdr:rowOff>
    </xdr:to>
    <xdr:sp macro="[1]!Oval15_Click" textlink="">
      <xdr:nvSpPr>
        <xdr:cNvPr id="139" name="Line 69"/>
        <xdr:cNvSpPr>
          <a:spLocks noChangeShapeType="1"/>
        </xdr:cNvSpPr>
      </xdr:nvSpPr>
      <xdr:spPr bwMode="auto">
        <a:xfrm>
          <a:off x="5019675" y="3876675"/>
          <a:ext cx="0" cy="4667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26</xdr:row>
      <xdr:rowOff>133350</xdr:rowOff>
    </xdr:from>
    <xdr:to>
      <xdr:col>8</xdr:col>
      <xdr:colOff>152400</xdr:colOff>
      <xdr:row>26</xdr:row>
      <xdr:rowOff>133350</xdr:rowOff>
    </xdr:to>
    <xdr:sp macro="[1]!Oval15_Click" textlink="">
      <xdr:nvSpPr>
        <xdr:cNvPr id="142" name="Line 73"/>
        <xdr:cNvSpPr>
          <a:spLocks noChangeShapeType="1"/>
        </xdr:cNvSpPr>
      </xdr:nvSpPr>
      <xdr:spPr bwMode="auto">
        <a:xfrm flipH="1">
          <a:off x="4286250" y="4343400"/>
          <a:ext cx="742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</xdr:colOff>
      <xdr:row>11</xdr:row>
      <xdr:rowOff>66675</xdr:rowOff>
    </xdr:from>
    <xdr:to>
      <xdr:col>9</xdr:col>
      <xdr:colOff>276225</xdr:colOff>
      <xdr:row>11</xdr:row>
      <xdr:rowOff>66675</xdr:rowOff>
    </xdr:to>
    <xdr:sp macro="[1]!Oval15_Click" textlink="">
      <xdr:nvSpPr>
        <xdr:cNvPr id="147" name="Line 80"/>
        <xdr:cNvSpPr>
          <a:spLocks noChangeShapeType="1"/>
        </xdr:cNvSpPr>
      </xdr:nvSpPr>
      <xdr:spPr bwMode="auto">
        <a:xfrm flipH="1">
          <a:off x="4295775" y="1847850"/>
          <a:ext cx="1466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30</xdr:row>
      <xdr:rowOff>152400</xdr:rowOff>
    </xdr:from>
    <xdr:to>
      <xdr:col>9</xdr:col>
      <xdr:colOff>266700</xdr:colOff>
      <xdr:row>30</xdr:row>
      <xdr:rowOff>152400</xdr:rowOff>
    </xdr:to>
    <xdr:sp macro="[1]!Oval15_Click" textlink="">
      <xdr:nvSpPr>
        <xdr:cNvPr id="148" name="Line 81"/>
        <xdr:cNvSpPr>
          <a:spLocks noChangeShapeType="1"/>
        </xdr:cNvSpPr>
      </xdr:nvSpPr>
      <xdr:spPr bwMode="auto">
        <a:xfrm flipH="1">
          <a:off x="4286250" y="5010150"/>
          <a:ext cx="1466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0</xdr:row>
      <xdr:rowOff>152400</xdr:rowOff>
    </xdr:from>
    <xdr:to>
      <xdr:col>7</xdr:col>
      <xdr:colOff>47625</xdr:colOff>
      <xdr:row>4</xdr:row>
      <xdr:rowOff>9525</xdr:rowOff>
    </xdr:to>
    <xdr:sp macro="[1]!Oval15_Click" textlink="">
      <xdr:nvSpPr>
        <xdr:cNvPr id="149" name="Oval 85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3219450" y="152400"/>
          <a:ext cx="1095375" cy="50482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CCCCFF"/>
            </a:gs>
          </a:gsLst>
          <a:path path="shape">
            <a:fillToRect l="50000" t="50000" r="50000" b="50000"/>
          </a:path>
        </a:gradFill>
        <a:ln w="9525">
          <a:solidFill>
            <a:srgbClr val="FF00FF"/>
          </a:solidFill>
          <a:round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45720" tIns="64008" rIns="45720" bIns="0" anchor="t" upright="1"/>
        <a:lstStyle/>
        <a:p>
          <a:pPr algn="ctr" rtl="1">
            <a:defRPr sz="1000"/>
          </a:pPr>
          <a:r>
            <a:rPr lang="fa-IR" sz="1800" b="0" i="0" strike="noStrike">
              <a:solidFill>
                <a:srgbClr val="000000"/>
              </a:solidFill>
              <a:cs typeface="B Jadid"/>
            </a:rPr>
            <a:t>شـروع</a:t>
          </a:r>
        </a:p>
      </xdr:txBody>
    </xdr:sp>
    <xdr:clientData/>
  </xdr:twoCellAnchor>
  <xdr:twoCellAnchor>
    <xdr:from>
      <xdr:col>0</xdr:col>
      <xdr:colOff>390525</xdr:colOff>
      <xdr:row>9</xdr:row>
      <xdr:rowOff>123825</xdr:rowOff>
    </xdr:from>
    <xdr:to>
      <xdr:col>1</xdr:col>
      <xdr:colOff>114300</xdr:colOff>
      <xdr:row>40</xdr:row>
      <xdr:rowOff>19050</xdr:rowOff>
    </xdr:to>
    <xdr:sp macro="" textlink="">
      <xdr:nvSpPr>
        <xdr:cNvPr id="150" name="AutoShape 94"/>
        <xdr:cNvSpPr>
          <a:spLocks/>
        </xdr:cNvSpPr>
      </xdr:nvSpPr>
      <xdr:spPr bwMode="auto">
        <a:xfrm>
          <a:off x="390525" y="1581150"/>
          <a:ext cx="333375" cy="4914900"/>
        </a:xfrm>
        <a:prstGeom prst="leftBrace">
          <a:avLst>
            <a:gd name="adj1" fmla="val 122857"/>
            <a:gd name="adj2" fmla="val 50000"/>
          </a:avLst>
        </a:prstGeom>
        <a:noFill/>
        <a:ln w="9525">
          <a:solidFill>
            <a:srgbClr val="00FF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381000</xdr:colOff>
      <xdr:row>41</xdr:row>
      <xdr:rowOff>28575</xdr:rowOff>
    </xdr:from>
    <xdr:to>
      <xdr:col>1</xdr:col>
      <xdr:colOff>104775</xdr:colOff>
      <xdr:row>47</xdr:row>
      <xdr:rowOff>47625</xdr:rowOff>
    </xdr:to>
    <xdr:sp macro="" textlink="">
      <xdr:nvSpPr>
        <xdr:cNvPr id="151" name="AutoShape 96"/>
        <xdr:cNvSpPr>
          <a:spLocks/>
        </xdr:cNvSpPr>
      </xdr:nvSpPr>
      <xdr:spPr bwMode="auto">
        <a:xfrm>
          <a:off x="381000" y="6667500"/>
          <a:ext cx="333375" cy="990600"/>
        </a:xfrm>
        <a:prstGeom prst="leftBrace">
          <a:avLst>
            <a:gd name="adj1" fmla="val 24762"/>
            <a:gd name="adj2" fmla="val 50000"/>
          </a:avLst>
        </a:prstGeom>
        <a:noFill/>
        <a:ln w="952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576;&#1608;&#1583;&#1580;&#1607;%20&#1576;&#1606;&#1583;&#1740;%20&#1593;&#1605;&#1604;&#1740;&#1575;&#1578;&#174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نمودار"/>
      <sheetName val="داده ها"/>
      <sheetName val="بودجه فروش"/>
      <sheetName val="بودجه توليد"/>
      <sheetName val="بودجه مواد مستقيم"/>
      <sheetName val="بودجه دستمزد مستقيم "/>
      <sheetName val="بودجه سربار ساخت"/>
      <sheetName val="بودجه بهاي تمام شده كالاي فروش "/>
      <sheetName val="بودجه هزينه هاي اداري و فروش"/>
      <sheetName val="صورت سود وزیان بودجه شده"/>
      <sheetName val="بودجه مخارج سرمایه ای"/>
      <sheetName val="بودجه نقدی "/>
      <sheetName val="ترازنامه بودجه شده "/>
      <sheetName val="صورت گردش وجوه نقد بودجه شده"/>
      <sheetName val="پایان"/>
      <sheetName val="بودجه بندی عملیاتی"/>
    </sheetNames>
    <definedNames>
      <definedName name="Oval15_Click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Red Orange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90000" mc:Ignorable="a14" a14:legacySpreadsheetColorIndex="9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90000" mc:Ignorable="a14" a14:legacySpreadsheetColorIndex="9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rightToLeft="1" tabSelected="1" zoomScaleNormal="100" workbookViewId="0">
      <selection activeCell="C13" sqref="C13"/>
    </sheetView>
  </sheetViews>
  <sheetFormatPr defaultColWidth="9.109375" defaultRowHeight="30" customHeight="1"/>
  <cols>
    <col min="1" max="1" width="18.33203125" style="41" customWidth="1"/>
    <col min="2" max="2" width="40.33203125" style="45" customWidth="1"/>
    <col min="3" max="10" width="13.88671875" style="41" customWidth="1"/>
    <col min="11" max="16384" width="9.109375" style="41"/>
  </cols>
  <sheetData>
    <row r="1" spans="1:2" ht="33.75" customHeight="1" thickTop="1" thickBot="1">
      <c r="A1" s="46" t="s">
        <v>57</v>
      </c>
      <c r="B1" s="47" t="s">
        <v>58</v>
      </c>
    </row>
    <row r="2" spans="1:2" ht="28.5" customHeight="1" thickTop="1">
      <c r="A2" s="382" t="s">
        <v>55</v>
      </c>
      <c r="B2" s="318" t="s">
        <v>45</v>
      </c>
    </row>
    <row r="3" spans="1:2" ht="28.5" customHeight="1">
      <c r="A3" s="383"/>
      <c r="B3" s="42" t="s">
        <v>46</v>
      </c>
    </row>
    <row r="4" spans="1:2" ht="28.5" customHeight="1">
      <c r="A4" s="383"/>
      <c r="B4" s="44" t="s">
        <v>47</v>
      </c>
    </row>
    <row r="5" spans="1:2" ht="28.5" customHeight="1">
      <c r="A5" s="383"/>
      <c r="B5" s="304" t="s">
        <v>48</v>
      </c>
    </row>
    <row r="6" spans="1:2" ht="28.5" customHeight="1">
      <c r="A6" s="383"/>
      <c r="B6" s="305" t="s">
        <v>32</v>
      </c>
    </row>
    <row r="7" spans="1:2" ht="28.5" customHeight="1">
      <c r="A7" s="383"/>
      <c r="B7" s="306" t="s">
        <v>37</v>
      </c>
    </row>
    <row r="8" spans="1:2" ht="28.5" customHeight="1">
      <c r="A8" s="383"/>
      <c r="B8" s="306" t="s">
        <v>211</v>
      </c>
    </row>
    <row r="9" spans="1:2" ht="28.5" customHeight="1">
      <c r="A9" s="383"/>
      <c r="B9" s="305" t="s">
        <v>212</v>
      </c>
    </row>
    <row r="10" spans="1:2" ht="28.5" customHeight="1">
      <c r="A10" s="383"/>
      <c r="B10" s="304" t="s">
        <v>50</v>
      </c>
    </row>
    <row r="11" spans="1:2" ht="28.5" customHeight="1">
      <c r="A11" s="383"/>
      <c r="B11" s="303" t="s">
        <v>213</v>
      </c>
    </row>
    <row r="12" spans="1:2" ht="28.5" customHeight="1">
      <c r="A12" s="383"/>
      <c r="B12" s="42" t="s">
        <v>214</v>
      </c>
    </row>
    <row r="13" spans="1:2" ht="28.5" customHeight="1" thickBot="1">
      <c r="A13" s="384"/>
      <c r="B13" s="320" t="s">
        <v>53</v>
      </c>
    </row>
    <row r="14" spans="1:2" ht="28.5" customHeight="1" thickTop="1">
      <c r="A14" s="382" t="s">
        <v>56</v>
      </c>
      <c r="B14" s="319" t="s">
        <v>51</v>
      </c>
    </row>
    <row r="15" spans="1:2" ht="28.5" customHeight="1">
      <c r="A15" s="383"/>
      <c r="B15" s="43" t="s">
        <v>52</v>
      </c>
    </row>
    <row r="16" spans="1:2" ht="28.5" customHeight="1">
      <c r="A16" s="383"/>
      <c r="B16" s="42" t="s">
        <v>12</v>
      </c>
    </row>
    <row r="17" spans="1:2" ht="28.5" customHeight="1" thickBot="1">
      <c r="A17" s="384"/>
      <c r="B17" s="320" t="s">
        <v>54</v>
      </c>
    </row>
    <row r="18" spans="1:2" ht="30" customHeight="1" thickTop="1">
      <c r="B18" s="41"/>
    </row>
  </sheetData>
  <mergeCells count="2">
    <mergeCell ref="A2:A13"/>
    <mergeCell ref="A14:A17"/>
  </mergeCells>
  <hyperlinks>
    <hyperlink ref="B2" location="'نمودار بودجه جامع'!A1" display="نمودار بودجه جامع"/>
    <hyperlink ref="B3" location="' بودجه فروش سال '!A1" display="بودجه فروش سال"/>
    <hyperlink ref="B4" location="'بودجه فروش فصلی'!A1" display="بودجه فروش فصلی"/>
    <hyperlink ref="B5" location="'بودجه تولید'!A1" display="بودجه تولید"/>
    <hyperlink ref="B6" location="'بودجه خرید مواد اولیه '!A1" display="بودجه خرید مواد اولیه"/>
    <hyperlink ref="B7" location="'بودجه دستمزد مستقیم'!A1" display="بودجه دستمزد مستقیم"/>
    <hyperlink ref="B8" location="'تسهیم بودجه سربار ساخت '!A1" display="بودجه سربار ساخت"/>
    <hyperlink ref="B10" location="'بودجه بهای تمام شده '!A1" display="بودجه بهای تمام شده"/>
    <hyperlink ref="B11" location="'بودجه هزینه های اداری و فروش'!A1" display="یودجه هزینه اداری و فروش"/>
    <hyperlink ref="B13" location="'بودجه سود و زیان'!A1" display=" صورت سود وزیان بودجه شده"/>
    <hyperlink ref="B14" location="'بودجه مخارج سرمایه ای'!A1" display="بودجه مخارج سرمایه ای"/>
    <hyperlink ref="B15" location="'بودجه نقدی'!A1" display="بودجه نقدی"/>
    <hyperlink ref="B16" location="'تراز نامه بودجه شده'!A1" display="ترازنامه بودجه شده"/>
    <hyperlink ref="B17" location="'صورت گردش وجوه نقد'!A1" display="صورت جریان وجوه نقد بودجه شده"/>
    <hyperlink ref="B12" location="'تسهیم هزینه های اداری و فروش'!A1" display="بودجه هزینه اداری و فروش"/>
    <hyperlink ref="B9" location="'تسهیم بودجه سربار ساخت '!A1" display="تسهیم بودجه سربار ساخت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rightToLeft="1" topLeftCell="A7" workbookViewId="0">
      <selection activeCell="A3" sqref="A3:F3"/>
    </sheetView>
  </sheetViews>
  <sheetFormatPr defaultColWidth="22.109375" defaultRowHeight="21.6"/>
  <cols>
    <col min="1" max="1" width="48.33203125" style="29" customWidth="1"/>
    <col min="2" max="5" width="20.6640625" style="2" customWidth="1"/>
    <col min="6" max="6" width="22.109375" style="2" bestFit="1" customWidth="1"/>
    <col min="7" max="16384" width="22.109375" style="2"/>
  </cols>
  <sheetData>
    <row r="1" spans="1:7" s="6" customFormat="1" ht="30.75" customHeight="1" thickTop="1">
      <c r="A1" s="402" t="s">
        <v>29</v>
      </c>
      <c r="B1" s="403"/>
      <c r="C1" s="403"/>
      <c r="D1" s="403"/>
      <c r="E1" s="403"/>
      <c r="F1" s="404"/>
    </row>
    <row r="2" spans="1:7" s="6" customFormat="1" ht="30.75" customHeight="1">
      <c r="A2" s="405" t="s">
        <v>50</v>
      </c>
      <c r="B2" s="406"/>
      <c r="C2" s="406"/>
      <c r="D2" s="406"/>
      <c r="E2" s="406"/>
      <c r="F2" s="407"/>
    </row>
    <row r="3" spans="1:7" s="6" customFormat="1" ht="30.75" customHeight="1" thickBot="1">
      <c r="A3" s="408" t="s">
        <v>228</v>
      </c>
      <c r="B3" s="409"/>
      <c r="C3" s="409"/>
      <c r="D3" s="409"/>
      <c r="E3" s="409"/>
      <c r="F3" s="410"/>
    </row>
    <row r="4" spans="1:7" s="22" customFormat="1" ht="41.25" customHeight="1" thickTop="1" thickBot="1">
      <c r="A4" s="48" t="s">
        <v>0</v>
      </c>
      <c r="B4" s="36" t="s">
        <v>76</v>
      </c>
      <c r="C4" s="36" t="s">
        <v>85</v>
      </c>
      <c r="D4" s="36" t="s">
        <v>78</v>
      </c>
      <c r="E4" s="36" t="s">
        <v>79</v>
      </c>
      <c r="F4" s="49" t="s">
        <v>22</v>
      </c>
    </row>
    <row r="5" spans="1:7" s="3" customFormat="1" ht="41.25" customHeight="1" thickTop="1" thickBot="1">
      <c r="A5" s="50" t="s">
        <v>67</v>
      </c>
      <c r="B5" s="106">
        <f>'بودجه خرید مواد اولیه '!N9</f>
        <v>2390400000</v>
      </c>
      <c r="C5" s="56">
        <f>'بودجه خرید مواد اولیه '!N16</f>
        <v>3445200000</v>
      </c>
      <c r="D5" s="56">
        <f>'بودجه خرید مواد اولیه '!N23</f>
        <v>2628000000</v>
      </c>
      <c r="E5" s="56">
        <f>'بودجه خرید مواد اولیه '!N30</f>
        <v>2400000000</v>
      </c>
      <c r="F5" s="107">
        <f>SUM(B5:E5)</f>
        <v>10863600000</v>
      </c>
    </row>
    <row r="6" spans="1:7" s="3" customFormat="1" ht="41.25" customHeight="1" thickBot="1">
      <c r="A6" s="51" t="s">
        <v>68</v>
      </c>
      <c r="B6" s="147">
        <f>'بودجه دستمزد مستقیم'!S10</f>
        <v>336150000</v>
      </c>
      <c r="C6" s="147">
        <f>'بودجه دستمزد مستقیم'!T10</f>
        <v>469800000</v>
      </c>
      <c r="D6" s="147">
        <f>'بودجه دستمزد مستقیم'!U10</f>
        <v>262800000</v>
      </c>
      <c r="E6" s="147">
        <f>'بودجه دستمزد مستقیم'!V10</f>
        <v>240000000</v>
      </c>
      <c r="F6" s="148">
        <f>SUM(B6:E6)</f>
        <v>1308750000</v>
      </c>
    </row>
    <row r="7" spans="1:7" s="3" customFormat="1" ht="41.25" customHeight="1" thickBot="1">
      <c r="A7" s="52" t="s">
        <v>14</v>
      </c>
      <c r="B7" s="24">
        <f>'تسهیم بودجه سربار ساخت '!G15</f>
        <v>211818490.41745347</v>
      </c>
      <c r="C7" s="24">
        <f>'تسهیم بودجه سربار ساخت '!G16</f>
        <v>297183289.540012</v>
      </c>
      <c r="D7" s="24">
        <f>'تسهیم بودجه سربار ساخت '!G17</f>
        <v>165666714.56242004</v>
      </c>
      <c r="E7" s="24">
        <f>'تسهیم بودجه سربار ساخت '!G18</f>
        <v>150351505.48011446</v>
      </c>
      <c r="F7" s="60">
        <f>SUM(B7:E7)</f>
        <v>825020000</v>
      </c>
    </row>
    <row r="8" spans="1:7" s="3" customFormat="1" ht="41.25" customHeight="1" thickBot="1">
      <c r="A8" s="53" t="s">
        <v>69</v>
      </c>
      <c r="B8" s="105">
        <f>SUM(B5:B7)</f>
        <v>2938368490.4174533</v>
      </c>
      <c r="C8" s="61">
        <f t="shared" ref="C8:F8" si="0">SUM(C5:C7)</f>
        <v>4212183289.5400119</v>
      </c>
      <c r="D8" s="61">
        <f t="shared" si="0"/>
        <v>3056466714.5624199</v>
      </c>
      <c r="E8" s="61">
        <f t="shared" si="0"/>
        <v>2790351505.4801145</v>
      </c>
      <c r="F8" s="62">
        <f t="shared" si="0"/>
        <v>12997370000</v>
      </c>
    </row>
    <row r="9" spans="1:7" s="3" customFormat="1" ht="41.25" customHeight="1" thickTop="1" thickBot="1">
      <c r="A9" s="54" t="s">
        <v>70</v>
      </c>
      <c r="B9" s="33">
        <v>0</v>
      </c>
      <c r="C9" s="33">
        <v>0</v>
      </c>
      <c r="D9" s="33">
        <v>0</v>
      </c>
      <c r="E9" s="33">
        <v>0</v>
      </c>
      <c r="F9" s="7">
        <v>0</v>
      </c>
    </row>
    <row r="10" spans="1:7" s="3" customFormat="1" ht="41.25" customHeight="1" thickTop="1" thickBot="1">
      <c r="A10" s="50" t="s">
        <v>71</v>
      </c>
      <c r="B10" s="34">
        <v>0</v>
      </c>
      <c r="C10" s="34">
        <v>0</v>
      </c>
      <c r="D10" s="34">
        <v>0</v>
      </c>
      <c r="E10" s="34">
        <v>0</v>
      </c>
      <c r="F10" s="5"/>
    </row>
    <row r="11" spans="1:7" s="3" customFormat="1" ht="41.25" customHeight="1" thickBot="1">
      <c r="A11" s="51" t="s">
        <v>72</v>
      </c>
      <c r="B11" s="58">
        <f>B8+B9-B10</f>
        <v>2938368490.4174533</v>
      </c>
      <c r="C11" s="58">
        <f t="shared" ref="C11:E11" si="1">C8+C9-C10</f>
        <v>4212183289.5400119</v>
      </c>
      <c r="D11" s="58">
        <f t="shared" si="1"/>
        <v>3056466714.5624199</v>
      </c>
      <c r="E11" s="58">
        <f t="shared" si="1"/>
        <v>2790351505.4801145</v>
      </c>
      <c r="F11" s="59">
        <f>SUM(B11:E11)</f>
        <v>12997370000</v>
      </c>
    </row>
    <row r="12" spans="1:7" s="3" customFormat="1" ht="41.25" customHeight="1" thickBot="1">
      <c r="A12" s="52" t="s">
        <v>73</v>
      </c>
      <c r="B12" s="24">
        <v>56643240</v>
      </c>
      <c r="C12" s="24">
        <v>64554500</v>
      </c>
      <c r="D12" s="24">
        <v>55325850</v>
      </c>
      <c r="E12" s="24">
        <v>41985525</v>
      </c>
      <c r="F12" s="60">
        <f>SUM(B12:E12)</f>
        <v>218509115</v>
      </c>
    </row>
    <row r="13" spans="1:7" s="3" customFormat="1" ht="41.25" customHeight="1" thickBot="1">
      <c r="A13" s="53" t="s">
        <v>74</v>
      </c>
      <c r="B13" s="105">
        <v>59003400</v>
      </c>
      <c r="C13" s="61">
        <v>96831800</v>
      </c>
      <c r="D13" s="61">
        <v>55825876</v>
      </c>
      <c r="E13" s="61">
        <v>52319091</v>
      </c>
      <c r="F13" s="62">
        <f>SUM(B13:E13)</f>
        <v>263980167</v>
      </c>
    </row>
    <row r="14" spans="1:7" s="3" customFormat="1" ht="41.25" customHeight="1" thickTop="1" thickBot="1">
      <c r="A14" s="54" t="s">
        <v>75</v>
      </c>
      <c r="B14" s="63">
        <f>B11+B12-B13</f>
        <v>2936008330.4174533</v>
      </c>
      <c r="C14" s="63">
        <f t="shared" ref="C14:E14" si="2">C11+C12-C13</f>
        <v>4179905989.5400119</v>
      </c>
      <c r="D14" s="63">
        <f t="shared" si="2"/>
        <v>3055966688.5624199</v>
      </c>
      <c r="E14" s="63">
        <f t="shared" si="2"/>
        <v>2780017939.4801145</v>
      </c>
      <c r="F14" s="64">
        <f>SUM(B14:E14)</f>
        <v>12951898948</v>
      </c>
      <c r="G14" s="154"/>
    </row>
    <row r="15" spans="1:7" s="3" customFormat="1" ht="19.5" customHeight="1" thickTop="1" thickBot="1">
      <c r="A15" s="151"/>
      <c r="B15" s="152"/>
      <c r="C15" s="152"/>
      <c r="D15" s="152"/>
      <c r="E15" s="152"/>
      <c r="F15" s="153"/>
    </row>
    <row r="16" spans="1:7" s="149" customFormat="1" ht="38.25" customHeight="1" thickTop="1" thickBot="1">
      <c r="A16" s="150" t="s">
        <v>126</v>
      </c>
      <c r="B16" s="158">
        <f>'بودجه فروش فصلی'!N6</f>
        <v>2500</v>
      </c>
      <c r="C16" s="158">
        <f>'بودجه فروش فصلی'!N7</f>
        <v>2600</v>
      </c>
      <c r="D16" s="158">
        <f>'بودجه فروش فصلی'!N8</f>
        <v>2200</v>
      </c>
      <c r="E16" s="158">
        <f>'بودجه فروش فصلی'!N9</f>
        <v>1600</v>
      </c>
      <c r="F16" s="57">
        <f>SUM(B16:E16)</f>
        <v>8900</v>
      </c>
    </row>
    <row r="17" spans="1:6" ht="38.25" customHeight="1" thickBot="1">
      <c r="A17" s="351" t="s">
        <v>124</v>
      </c>
      <c r="B17" s="352">
        <f>B14/B16</f>
        <v>1174403.3321669814</v>
      </c>
      <c r="C17" s="352">
        <f t="shared" ref="C17:F17" si="3">C14/C16</f>
        <v>1607656.1498230814</v>
      </c>
      <c r="D17" s="352">
        <f t="shared" si="3"/>
        <v>1389075.7675283726</v>
      </c>
      <c r="E17" s="352">
        <f t="shared" si="3"/>
        <v>1737511.2121750715</v>
      </c>
      <c r="F17" s="353">
        <f t="shared" si="3"/>
        <v>1455269.5447191012</v>
      </c>
    </row>
    <row r="18" spans="1:6" ht="22.2" thickTop="1"/>
  </sheetData>
  <mergeCells count="3">
    <mergeCell ref="A1:F1"/>
    <mergeCell ref="A2:F2"/>
    <mergeCell ref="A3:F3"/>
  </mergeCell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rightToLeft="1" workbookViewId="0">
      <selection sqref="A1:F1"/>
    </sheetView>
  </sheetViews>
  <sheetFormatPr defaultColWidth="22.109375" defaultRowHeight="21.6"/>
  <cols>
    <col min="1" max="1" width="40.109375" style="29" customWidth="1"/>
    <col min="2" max="4" width="20.6640625" style="2" customWidth="1"/>
    <col min="5" max="5" width="19.44140625" style="2" bestFit="1" customWidth="1"/>
    <col min="6" max="6" width="22.109375" style="2" bestFit="1" customWidth="1"/>
    <col min="7" max="16384" width="22.109375" style="2"/>
  </cols>
  <sheetData>
    <row r="1" spans="1:6" s="6" customFormat="1" ht="30.75" customHeight="1" thickTop="1">
      <c r="A1" s="416" t="s">
        <v>29</v>
      </c>
      <c r="B1" s="417"/>
      <c r="C1" s="417"/>
      <c r="D1" s="417"/>
      <c r="E1" s="417"/>
      <c r="F1" s="418"/>
    </row>
    <row r="2" spans="1:6" s="6" customFormat="1" ht="30.75" customHeight="1">
      <c r="A2" s="419" t="s">
        <v>216</v>
      </c>
      <c r="B2" s="420"/>
      <c r="C2" s="420"/>
      <c r="D2" s="420"/>
      <c r="E2" s="420"/>
      <c r="F2" s="421"/>
    </row>
    <row r="3" spans="1:6" s="6" customFormat="1" ht="30.75" customHeight="1" thickBot="1">
      <c r="A3" s="422" t="s">
        <v>226</v>
      </c>
      <c r="B3" s="423"/>
      <c r="C3" s="423"/>
      <c r="D3" s="423"/>
      <c r="E3" s="423"/>
      <c r="F3" s="424"/>
    </row>
    <row r="4" spans="1:6" s="22" customFormat="1" ht="41.25" customHeight="1" thickTop="1" thickBot="1">
      <c r="A4" s="167" t="s">
        <v>0</v>
      </c>
      <c r="B4" s="168" t="s">
        <v>76</v>
      </c>
      <c r="C4" s="168" t="s">
        <v>85</v>
      </c>
      <c r="D4" s="168" t="s">
        <v>78</v>
      </c>
      <c r="E4" s="169" t="s">
        <v>79</v>
      </c>
      <c r="F4" s="170" t="s">
        <v>22</v>
      </c>
    </row>
    <row r="5" spans="1:6" s="22" customFormat="1" ht="45.75" customHeight="1" thickTop="1" thickBot="1">
      <c r="A5" s="155" t="s">
        <v>125</v>
      </c>
      <c r="B5" s="159">
        <f>' بودجه فروش سال '!M6</f>
        <v>3250000000</v>
      </c>
      <c r="C5" s="159">
        <f>'بودجه فروش فصلی'!P7</f>
        <v>4680000000</v>
      </c>
      <c r="D5" s="159">
        <f>'بودجه فروش فصلی'!P8</f>
        <v>3520000000</v>
      </c>
      <c r="E5" s="159">
        <f>'بودجه فروش فصلی'!P9</f>
        <v>3200000000</v>
      </c>
      <c r="F5" s="156">
        <f>SUM(B5:E5)</f>
        <v>14650000000</v>
      </c>
    </row>
    <row r="6" spans="1:6" s="3" customFormat="1" ht="45.75" customHeight="1" thickBot="1">
      <c r="A6" s="162" t="s">
        <v>75</v>
      </c>
      <c r="B6" s="163">
        <v>2936008330.4174533</v>
      </c>
      <c r="C6" s="163">
        <v>4179905989.5400119</v>
      </c>
      <c r="D6" s="163">
        <v>3055966688.5624199</v>
      </c>
      <c r="E6" s="163">
        <v>2780017939.4801145</v>
      </c>
      <c r="F6" s="127">
        <v>12951898948</v>
      </c>
    </row>
    <row r="7" spans="1:6" s="3" customFormat="1" ht="45.75" customHeight="1" thickBot="1">
      <c r="A7" s="160" t="s">
        <v>11</v>
      </c>
      <c r="B7" s="24">
        <f>B5-B6</f>
        <v>313991669.58254671</v>
      </c>
      <c r="C7" s="24">
        <f t="shared" ref="C7:E7" si="0">C5-C6</f>
        <v>500094010.45998812</v>
      </c>
      <c r="D7" s="24">
        <f t="shared" si="0"/>
        <v>464033311.43758011</v>
      </c>
      <c r="E7" s="24">
        <f t="shared" si="0"/>
        <v>419982060.51988554</v>
      </c>
      <c r="F7" s="60">
        <f>SUM(B7:E7)</f>
        <v>1698101052.0000005</v>
      </c>
    </row>
    <row r="8" spans="1:6" s="3" customFormat="1" ht="26.25" customHeight="1" thickBot="1">
      <c r="A8" s="171"/>
      <c r="B8" s="172"/>
      <c r="C8" s="172"/>
      <c r="D8" s="172"/>
      <c r="E8" s="172"/>
      <c r="F8" s="173"/>
    </row>
    <row r="9" spans="1:6" s="149" customFormat="1" ht="45.75" customHeight="1" thickBot="1">
      <c r="A9" s="155" t="s">
        <v>126</v>
      </c>
      <c r="B9" s="159">
        <f>'بودجه بهای تمام شده '!B16</f>
        <v>2500</v>
      </c>
      <c r="C9" s="159">
        <f>'بودجه بهای تمام شده '!C16</f>
        <v>2600</v>
      </c>
      <c r="D9" s="159">
        <f>'بودجه بهای تمام شده '!D16</f>
        <v>2200</v>
      </c>
      <c r="E9" s="159">
        <f>'بودجه بهای تمام شده '!E16</f>
        <v>1600</v>
      </c>
      <c r="F9" s="156">
        <f>SUM(B9:E9)</f>
        <v>8900</v>
      </c>
    </row>
    <row r="10" spans="1:6" ht="45.75" customHeight="1" thickBot="1">
      <c r="A10" s="162" t="s">
        <v>127</v>
      </c>
      <c r="B10" s="163">
        <f>B5/B9</f>
        <v>1300000</v>
      </c>
      <c r="C10" s="163">
        <f t="shared" ref="C10:E10" si="1">C5/C9</f>
        <v>1800000</v>
      </c>
      <c r="D10" s="163">
        <f t="shared" si="1"/>
        <v>1600000</v>
      </c>
      <c r="E10" s="163">
        <f t="shared" si="1"/>
        <v>2000000</v>
      </c>
      <c r="F10" s="127">
        <f>F5/F9</f>
        <v>1646067.4157303371</v>
      </c>
    </row>
    <row r="11" spans="1:6" ht="45.75" customHeight="1" thickBot="1">
      <c r="A11" s="160" t="s">
        <v>128</v>
      </c>
      <c r="B11" s="24">
        <f>B6/B9</f>
        <v>1174403.3321669814</v>
      </c>
      <c r="C11" s="24">
        <f t="shared" ref="C11:F11" si="2">C6/C9</f>
        <v>1607656.1498230814</v>
      </c>
      <c r="D11" s="24">
        <f t="shared" si="2"/>
        <v>1389075.7675283726</v>
      </c>
      <c r="E11" s="24">
        <f t="shared" si="2"/>
        <v>1737511.2121750715</v>
      </c>
      <c r="F11" s="60">
        <f t="shared" si="2"/>
        <v>1455269.5447191012</v>
      </c>
    </row>
    <row r="12" spans="1:6" ht="45.75" customHeight="1" thickBot="1">
      <c r="A12" s="296" t="s">
        <v>129</v>
      </c>
      <c r="B12" s="297">
        <f>B10-B11</f>
        <v>125596.66783301858</v>
      </c>
      <c r="C12" s="297">
        <f t="shared" ref="C12:F12" si="3">C10-C11</f>
        <v>192343.85017691855</v>
      </c>
      <c r="D12" s="297">
        <f t="shared" si="3"/>
        <v>210924.23247162742</v>
      </c>
      <c r="E12" s="297">
        <f t="shared" si="3"/>
        <v>262488.78782492853</v>
      </c>
      <c r="F12" s="298">
        <f t="shared" si="3"/>
        <v>190797.87101123598</v>
      </c>
    </row>
    <row r="13" spans="1:6" ht="45.75" customHeight="1" thickBot="1">
      <c r="A13" s="299" t="s">
        <v>130</v>
      </c>
      <c r="B13" s="300">
        <f>B12/B10</f>
        <v>9.6612821410014288E-2</v>
      </c>
      <c r="C13" s="300">
        <f t="shared" ref="C13:F13" si="4">C12/C10</f>
        <v>0.10685769454273253</v>
      </c>
      <c r="D13" s="300">
        <f t="shared" si="4"/>
        <v>0.13182764529476715</v>
      </c>
      <c r="E13" s="300">
        <f t="shared" si="4"/>
        <v>0.13124439391246426</v>
      </c>
      <c r="F13" s="301">
        <f t="shared" si="4"/>
        <v>0.11591133460750855</v>
      </c>
    </row>
  </sheetData>
  <mergeCells count="3">
    <mergeCell ref="A1:F1"/>
    <mergeCell ref="A2:F2"/>
    <mergeCell ref="A3:F3"/>
  </mergeCells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rightToLeft="1" workbookViewId="0">
      <selection sqref="A1:F1"/>
    </sheetView>
  </sheetViews>
  <sheetFormatPr defaultColWidth="22.109375" defaultRowHeight="21.6"/>
  <cols>
    <col min="1" max="1" width="45" style="29" customWidth="1"/>
    <col min="2" max="6" width="20.6640625" style="2" customWidth="1"/>
    <col min="7" max="16384" width="22.109375" style="2"/>
  </cols>
  <sheetData>
    <row r="1" spans="1:6" s="6" customFormat="1" ht="30.75" customHeight="1" thickTop="1">
      <c r="A1" s="402" t="s">
        <v>29</v>
      </c>
      <c r="B1" s="403"/>
      <c r="C1" s="403"/>
      <c r="D1" s="403"/>
      <c r="E1" s="403"/>
      <c r="F1" s="404"/>
    </row>
    <row r="2" spans="1:6" s="6" customFormat="1" ht="30.75" customHeight="1">
      <c r="A2" s="405" t="s">
        <v>213</v>
      </c>
      <c r="B2" s="406"/>
      <c r="C2" s="406"/>
      <c r="D2" s="406"/>
      <c r="E2" s="406"/>
      <c r="F2" s="407"/>
    </row>
    <row r="3" spans="1:6" s="6" customFormat="1" ht="30.75" customHeight="1" thickBot="1">
      <c r="A3" s="408" t="s">
        <v>226</v>
      </c>
      <c r="B3" s="409"/>
      <c r="C3" s="409"/>
      <c r="D3" s="409"/>
      <c r="E3" s="409"/>
      <c r="F3" s="410"/>
    </row>
    <row r="4" spans="1:6" s="22" customFormat="1" ht="41.25" customHeight="1" thickTop="1" thickBot="1">
      <c r="A4" s="48" t="s">
        <v>0</v>
      </c>
      <c r="B4" s="36" t="s">
        <v>2</v>
      </c>
      <c r="C4" s="36" t="s">
        <v>20</v>
      </c>
      <c r="D4" s="36" t="s">
        <v>3</v>
      </c>
      <c r="E4" s="36" t="s">
        <v>4</v>
      </c>
      <c r="F4" s="49" t="s">
        <v>22</v>
      </c>
    </row>
    <row r="5" spans="1:6" s="3" customFormat="1" ht="41.25" customHeight="1" thickTop="1" thickBot="1">
      <c r="A5" s="174" t="s">
        <v>132</v>
      </c>
      <c r="B5" s="175">
        <v>42000000</v>
      </c>
      <c r="C5" s="175">
        <v>42000000</v>
      </c>
      <c r="D5" s="175">
        <v>42000000</v>
      </c>
      <c r="E5" s="175">
        <v>42000000</v>
      </c>
      <c r="F5" s="176">
        <f t="shared" ref="F5:F11" si="0">SUM(B5:E5)</f>
        <v>168000000</v>
      </c>
    </row>
    <row r="6" spans="1:6" s="3" customFormat="1" ht="41.25" customHeight="1" thickBot="1">
      <c r="A6" s="177" t="s">
        <v>133</v>
      </c>
      <c r="B6" s="178">
        <f>18000000</f>
        <v>18000000</v>
      </c>
      <c r="C6" s="178">
        <f t="shared" ref="C6:E6" si="1">18000000</f>
        <v>18000000</v>
      </c>
      <c r="D6" s="178">
        <f t="shared" si="1"/>
        <v>18000000</v>
      </c>
      <c r="E6" s="178">
        <f t="shared" si="1"/>
        <v>18000000</v>
      </c>
      <c r="F6" s="179">
        <f t="shared" si="0"/>
        <v>72000000</v>
      </c>
    </row>
    <row r="7" spans="1:6" s="3" customFormat="1" ht="41.25" customHeight="1" thickBot="1">
      <c r="A7" s="180" t="s">
        <v>134</v>
      </c>
      <c r="B7" s="181">
        <f>3250000/2</f>
        <v>1625000</v>
      </c>
      <c r="C7" s="181">
        <f>3420000/2</f>
        <v>1710000</v>
      </c>
      <c r="D7" s="181">
        <f>3560000/2</f>
        <v>1780000</v>
      </c>
      <c r="E7" s="181">
        <f>3890000/2</f>
        <v>1945000</v>
      </c>
      <c r="F7" s="182">
        <f t="shared" si="0"/>
        <v>7060000</v>
      </c>
    </row>
    <row r="8" spans="1:6" s="3" customFormat="1" ht="41.25" customHeight="1" thickBot="1">
      <c r="A8" s="183" t="s">
        <v>135</v>
      </c>
      <c r="B8" s="184">
        <f>2560000/2</f>
        <v>1280000</v>
      </c>
      <c r="C8" s="184">
        <f>3260000/2</f>
        <v>1630000</v>
      </c>
      <c r="D8" s="184">
        <f>2960000/2</f>
        <v>1480000</v>
      </c>
      <c r="E8" s="184">
        <f>4620000/2</f>
        <v>2310000</v>
      </c>
      <c r="F8" s="185">
        <f t="shared" si="0"/>
        <v>6700000</v>
      </c>
    </row>
    <row r="9" spans="1:6" s="3" customFormat="1" ht="41.25" customHeight="1" thickBot="1">
      <c r="A9" s="189" t="s">
        <v>136</v>
      </c>
      <c r="B9" s="190">
        <v>750000</v>
      </c>
      <c r="C9" s="190">
        <v>750000</v>
      </c>
      <c r="D9" s="190">
        <v>750000</v>
      </c>
      <c r="E9" s="190">
        <v>7500000</v>
      </c>
      <c r="F9" s="191">
        <f t="shared" si="0"/>
        <v>9750000</v>
      </c>
    </row>
    <row r="10" spans="1:6" s="3" customFormat="1" ht="41.25" customHeight="1" thickBot="1">
      <c r="A10" s="186" t="s">
        <v>137</v>
      </c>
      <c r="B10" s="187">
        <v>1230000</v>
      </c>
      <c r="C10" s="187">
        <v>1190000</v>
      </c>
      <c r="D10" s="187">
        <v>1300000</v>
      </c>
      <c r="E10" s="187">
        <v>1050000</v>
      </c>
      <c r="F10" s="188">
        <f t="shared" si="0"/>
        <v>4770000</v>
      </c>
    </row>
    <row r="11" spans="1:6" s="3" customFormat="1" ht="41.25" customHeight="1" thickBot="1">
      <c r="A11" s="192" t="s">
        <v>138</v>
      </c>
      <c r="B11" s="193">
        <v>2900000</v>
      </c>
      <c r="C11" s="193">
        <v>0</v>
      </c>
      <c r="D11" s="193">
        <v>3200000</v>
      </c>
      <c r="E11" s="193">
        <v>0</v>
      </c>
      <c r="F11" s="194">
        <f t="shared" si="0"/>
        <v>6100000</v>
      </c>
    </row>
    <row r="12" spans="1:6" s="3" customFormat="1" ht="41.25" customHeight="1" thickBot="1">
      <c r="A12" s="195" t="s">
        <v>131</v>
      </c>
      <c r="B12" s="196">
        <f>SUM(B5:B11)</f>
        <v>67785000</v>
      </c>
      <c r="C12" s="196">
        <f t="shared" ref="C12:E12" si="2">SUM(C5:C11)</f>
        <v>65280000</v>
      </c>
      <c r="D12" s="196">
        <f t="shared" si="2"/>
        <v>68510000</v>
      </c>
      <c r="E12" s="196">
        <f t="shared" si="2"/>
        <v>72805000</v>
      </c>
      <c r="F12" s="197">
        <f>SUM(F5:F11)</f>
        <v>274380000</v>
      </c>
    </row>
    <row r="13" spans="1:6" ht="27.6">
      <c r="F13" s="302"/>
    </row>
  </sheetData>
  <mergeCells count="3">
    <mergeCell ref="A1:F1"/>
    <mergeCell ref="A2:F2"/>
    <mergeCell ref="A3:F3"/>
  </mergeCells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rightToLeft="1" topLeftCell="A4" workbookViewId="0">
      <selection activeCell="B8" sqref="B8"/>
    </sheetView>
  </sheetViews>
  <sheetFormatPr defaultColWidth="22.109375" defaultRowHeight="21.6"/>
  <cols>
    <col min="1" max="1" width="48" style="29" bestFit="1" customWidth="1"/>
    <col min="2" max="6" width="20.6640625" style="2" customWidth="1"/>
    <col min="7" max="16384" width="22.109375" style="2"/>
  </cols>
  <sheetData>
    <row r="1" spans="1:6" s="6" customFormat="1" ht="30.75" customHeight="1" thickTop="1">
      <c r="A1" s="402" t="s">
        <v>29</v>
      </c>
      <c r="B1" s="403"/>
      <c r="C1" s="403"/>
      <c r="D1" s="403"/>
      <c r="E1" s="403"/>
      <c r="F1" s="404"/>
    </row>
    <row r="2" spans="1:6" s="6" customFormat="1" ht="30.75" customHeight="1">
      <c r="A2" s="405" t="s">
        <v>214</v>
      </c>
      <c r="B2" s="406"/>
      <c r="C2" s="406"/>
      <c r="D2" s="406"/>
      <c r="E2" s="406"/>
      <c r="F2" s="407"/>
    </row>
    <row r="3" spans="1:6" s="6" customFormat="1" ht="30.75" customHeight="1" thickBot="1">
      <c r="A3" s="408" t="s">
        <v>227</v>
      </c>
      <c r="B3" s="409"/>
      <c r="C3" s="409"/>
      <c r="D3" s="409"/>
      <c r="E3" s="409"/>
      <c r="F3" s="410"/>
    </row>
    <row r="4" spans="1:6" s="22" customFormat="1" ht="41.25" customHeight="1" thickTop="1" thickBot="1">
      <c r="A4" s="48" t="s">
        <v>0</v>
      </c>
      <c r="B4" s="36" t="s">
        <v>2</v>
      </c>
      <c r="C4" s="36" t="s">
        <v>20</v>
      </c>
      <c r="D4" s="36" t="s">
        <v>3</v>
      </c>
      <c r="E4" s="36" t="s">
        <v>4</v>
      </c>
      <c r="F4" s="49" t="s">
        <v>22</v>
      </c>
    </row>
    <row r="5" spans="1:6" s="3" customFormat="1" ht="39" customHeight="1" thickTop="1" thickBot="1">
      <c r="A5" s="174" t="s">
        <v>222</v>
      </c>
      <c r="B5" s="175">
        <v>67785000</v>
      </c>
      <c r="C5" s="175">
        <v>65280000</v>
      </c>
      <c r="D5" s="175">
        <v>68510000</v>
      </c>
      <c r="E5" s="175">
        <v>72805000</v>
      </c>
      <c r="F5" s="176">
        <f>SUM(B5:E5)</f>
        <v>274380000</v>
      </c>
    </row>
    <row r="6" spans="1:6" ht="39" customHeight="1" thickBot="1">
      <c r="A6" s="177" t="s">
        <v>206</v>
      </c>
      <c r="B6" s="178">
        <f>'بودجه تولید'!C9</f>
        <v>490</v>
      </c>
      <c r="C6" s="178">
        <f>'بودجه تولید'!D9</f>
        <v>640</v>
      </c>
      <c r="D6" s="178">
        <f>'بودجه تولید'!E9</f>
        <v>640</v>
      </c>
      <c r="E6" s="178">
        <f>'بودجه تولید'!F9</f>
        <v>720</v>
      </c>
      <c r="F6" s="179">
        <f>SUM(B6:E6)</f>
        <v>2490</v>
      </c>
    </row>
    <row r="7" spans="1:6" ht="39" customHeight="1" thickBot="1">
      <c r="A7" s="180" t="s">
        <v>207</v>
      </c>
      <c r="B7" s="181">
        <f>'بودجه تولید'!C16</f>
        <v>560</v>
      </c>
      <c r="C7" s="181">
        <f>'بودجه تولید'!D16</f>
        <v>630</v>
      </c>
      <c r="D7" s="181">
        <f>'بودجه تولید'!E16</f>
        <v>660</v>
      </c>
      <c r="E7" s="181">
        <f>'بودجه تولید'!F16</f>
        <v>760</v>
      </c>
      <c r="F7" s="182">
        <f t="shared" ref="F7:F9" si="0">SUM(B7:E7)</f>
        <v>2610</v>
      </c>
    </row>
    <row r="8" spans="1:6" ht="39" customHeight="1" thickBot="1">
      <c r="A8" s="183" t="s">
        <v>208</v>
      </c>
      <c r="B8" s="184">
        <f>'بودجه تولید'!C23</f>
        <v>440</v>
      </c>
      <c r="C8" s="184">
        <f>'بودجه تولید'!D23</f>
        <v>540</v>
      </c>
      <c r="D8" s="184">
        <f>'بودجه تولید'!E23</f>
        <v>570</v>
      </c>
      <c r="E8" s="184">
        <f>'بودجه تولید'!F23</f>
        <v>640</v>
      </c>
      <c r="F8" s="185">
        <f t="shared" si="0"/>
        <v>2190</v>
      </c>
    </row>
    <row r="9" spans="1:6" ht="39" customHeight="1" thickBot="1">
      <c r="A9" s="189" t="s">
        <v>209</v>
      </c>
      <c r="B9" s="190">
        <f>'بودجه تولید'!C30</f>
        <v>290</v>
      </c>
      <c r="C9" s="190">
        <f>'بودجه تولید'!D30</f>
        <v>410</v>
      </c>
      <c r="D9" s="190">
        <f>'بودجه تولید'!E30</f>
        <v>410</v>
      </c>
      <c r="E9" s="190">
        <f>'بودجه تولید'!F30</f>
        <v>490</v>
      </c>
      <c r="F9" s="191">
        <f t="shared" si="0"/>
        <v>1600</v>
      </c>
    </row>
    <row r="10" spans="1:6" ht="39" customHeight="1" thickBot="1">
      <c r="A10" s="186" t="s">
        <v>210</v>
      </c>
      <c r="B10" s="187">
        <f>SUM(B6:B9)</f>
        <v>1780</v>
      </c>
      <c r="C10" s="187">
        <f t="shared" ref="C10:F10" si="1">SUM(C6:C9)</f>
        <v>2220</v>
      </c>
      <c r="D10" s="187">
        <f t="shared" si="1"/>
        <v>2280</v>
      </c>
      <c r="E10" s="187">
        <f t="shared" si="1"/>
        <v>2610</v>
      </c>
      <c r="F10" s="188">
        <f t="shared" si="1"/>
        <v>8890</v>
      </c>
    </row>
    <row r="11" spans="1:6" ht="39" customHeight="1" thickBot="1">
      <c r="A11" s="192" t="s">
        <v>218</v>
      </c>
      <c r="B11" s="193">
        <f>B6/$B$10*B5</f>
        <v>18659915.73033708</v>
      </c>
      <c r="C11" s="193">
        <f>C6/$C$10*$C$5</f>
        <v>18819459.459459458</v>
      </c>
      <c r="D11" s="193">
        <f>D6/$D$10*$D$5</f>
        <v>19230877.192982454</v>
      </c>
      <c r="E11" s="193">
        <f>E6/$E$10*$E$5</f>
        <v>20084137.931034483</v>
      </c>
      <c r="F11" s="194">
        <f>SUM(B11:E11)</f>
        <v>76794390.313813478</v>
      </c>
    </row>
    <row r="12" spans="1:6" ht="39" customHeight="1" thickBot="1">
      <c r="A12" s="195" t="s">
        <v>219</v>
      </c>
      <c r="B12" s="196">
        <f>B7/$B$10*B5</f>
        <v>21325617.977528088</v>
      </c>
      <c r="C12" s="196">
        <f t="shared" ref="C12:C13" si="2">C7/$C$10*$C$5</f>
        <v>18525405.405405406</v>
      </c>
      <c r="D12" s="196">
        <f t="shared" ref="D12:D14" si="3">D7/$D$10*$D$5</f>
        <v>19831842.105263159</v>
      </c>
      <c r="E12" s="196">
        <f t="shared" ref="E12:E14" si="4">E7/$E$10*$E$5</f>
        <v>21199923.371647511</v>
      </c>
      <c r="F12" s="197">
        <f t="shared" ref="F12:F14" si="5">SUM(B12:E12)</f>
        <v>80882788.859844163</v>
      </c>
    </row>
    <row r="13" spans="1:6" ht="39" customHeight="1" thickBot="1">
      <c r="A13" s="195" t="s">
        <v>220</v>
      </c>
      <c r="B13" s="196">
        <f>B8/$B$10*$B$5</f>
        <v>16755842.696629213</v>
      </c>
      <c r="C13" s="196">
        <f t="shared" si="2"/>
        <v>15878918.918918921</v>
      </c>
      <c r="D13" s="196">
        <f t="shared" si="3"/>
        <v>17127500</v>
      </c>
      <c r="E13" s="196">
        <f t="shared" si="4"/>
        <v>17852567.049808428</v>
      </c>
      <c r="F13" s="197">
        <f t="shared" si="5"/>
        <v>67614828.665356562</v>
      </c>
    </row>
    <row r="14" spans="1:6" ht="39" customHeight="1" thickBot="1">
      <c r="A14" s="195" t="s">
        <v>221</v>
      </c>
      <c r="B14" s="196">
        <f>B9/$B$10*B5</f>
        <v>11043623.595505619</v>
      </c>
      <c r="C14" s="196">
        <f>C9/$C$10*$C$5</f>
        <v>12056216.216216216</v>
      </c>
      <c r="D14" s="196">
        <f t="shared" si="3"/>
        <v>12319780.701754386</v>
      </c>
      <c r="E14" s="196">
        <f t="shared" si="4"/>
        <v>13668371.647509579</v>
      </c>
      <c r="F14" s="197">
        <f t="shared" si="5"/>
        <v>49087992.160985798</v>
      </c>
    </row>
    <row r="15" spans="1:6" ht="27.6">
      <c r="F15" s="302"/>
    </row>
  </sheetData>
  <mergeCells count="3">
    <mergeCell ref="A1:F1"/>
    <mergeCell ref="A2:F2"/>
    <mergeCell ref="A3:F3"/>
  </mergeCell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rightToLeft="1" workbookViewId="0">
      <selection activeCell="C5" sqref="C5"/>
    </sheetView>
  </sheetViews>
  <sheetFormatPr defaultColWidth="22.109375" defaultRowHeight="21.6"/>
  <cols>
    <col min="1" max="1" width="37.88671875" style="29" customWidth="1"/>
    <col min="2" max="2" width="22" style="2" bestFit="1" customWidth="1"/>
    <col min="3" max="3" width="22.109375" style="2" bestFit="1" customWidth="1"/>
    <col min="4" max="4" width="21.6640625" style="2" bestFit="1" customWidth="1"/>
    <col min="5" max="5" width="22.109375" style="2" bestFit="1" customWidth="1"/>
    <col min="6" max="6" width="23.6640625" style="2" bestFit="1" customWidth="1"/>
    <col min="7" max="16384" width="22.109375" style="2"/>
  </cols>
  <sheetData>
    <row r="1" spans="1:6" s="6" customFormat="1" ht="30.75" customHeight="1" thickTop="1">
      <c r="A1" s="402" t="s">
        <v>29</v>
      </c>
      <c r="B1" s="403"/>
      <c r="C1" s="403"/>
      <c r="D1" s="403"/>
      <c r="E1" s="403"/>
      <c r="F1" s="404"/>
    </row>
    <row r="2" spans="1:6" s="6" customFormat="1" ht="30.75" customHeight="1">
      <c r="A2" s="405" t="s">
        <v>223</v>
      </c>
      <c r="B2" s="406"/>
      <c r="C2" s="406"/>
      <c r="D2" s="406"/>
      <c r="E2" s="406"/>
      <c r="F2" s="407"/>
    </row>
    <row r="3" spans="1:6" s="6" customFormat="1" ht="30.75" customHeight="1" thickBot="1">
      <c r="A3" s="408" t="s">
        <v>226</v>
      </c>
      <c r="B3" s="409"/>
      <c r="C3" s="409"/>
      <c r="D3" s="409"/>
      <c r="E3" s="409"/>
      <c r="F3" s="410"/>
    </row>
    <row r="4" spans="1:6" s="22" customFormat="1" ht="41.25" customHeight="1" thickTop="1" thickBot="1">
      <c r="A4" s="48" t="s">
        <v>0</v>
      </c>
      <c r="B4" s="36" t="s">
        <v>76</v>
      </c>
      <c r="C4" s="36" t="s">
        <v>85</v>
      </c>
      <c r="D4" s="36" t="s">
        <v>78</v>
      </c>
      <c r="E4" s="36" t="s">
        <v>79</v>
      </c>
      <c r="F4" s="49" t="s">
        <v>22</v>
      </c>
    </row>
    <row r="5" spans="1:6" s="3" customFormat="1" ht="41.25" customHeight="1" thickTop="1" thickBot="1">
      <c r="A5" s="198" t="s">
        <v>10</v>
      </c>
      <c r="B5" s="68">
        <f>'بودجه فروش فصلی'!P6</f>
        <v>3250000000</v>
      </c>
      <c r="C5" s="68">
        <f>'بودجه فروش فصلی'!P7</f>
        <v>4680000000</v>
      </c>
      <c r="D5" s="68">
        <f>'بودجه فروش فصلی'!P8</f>
        <v>3520000000</v>
      </c>
      <c r="E5" s="68">
        <f>'بودجه فروش فصلی'!P9</f>
        <v>3200000000</v>
      </c>
      <c r="F5" s="57">
        <f>SUM(B5:E5)</f>
        <v>14650000000</v>
      </c>
    </row>
    <row r="6" spans="1:6" s="3" customFormat="1" ht="41.25" customHeight="1" thickBot="1">
      <c r="A6" s="69" t="s">
        <v>75</v>
      </c>
      <c r="B6" s="80">
        <f>'بودجه بهای تمام شده '!B14</f>
        <v>2936008330.4174533</v>
      </c>
      <c r="C6" s="80">
        <f>'بودجه بهای تمام شده '!C14</f>
        <v>4179905989.5400119</v>
      </c>
      <c r="D6" s="80">
        <f>'بودجه بهای تمام شده '!D14</f>
        <v>3055966688.5624199</v>
      </c>
      <c r="E6" s="80">
        <f>'بودجه بهای تمام شده '!E14</f>
        <v>2780017939.4801145</v>
      </c>
      <c r="F6" s="148">
        <f>SUM(B6:E6)</f>
        <v>12951898948</v>
      </c>
    </row>
    <row r="7" spans="1:6" s="3" customFormat="1" ht="41.25" customHeight="1" thickBot="1">
      <c r="A7" s="71" t="s">
        <v>11</v>
      </c>
      <c r="B7" s="16">
        <f>B5-B6</f>
        <v>313991669.58254671</v>
      </c>
      <c r="C7" s="16">
        <f>C5-C6</f>
        <v>500094010.45998812</v>
      </c>
      <c r="D7" s="16">
        <f>D5-D6</f>
        <v>464033311.43758011</v>
      </c>
      <c r="E7" s="16">
        <f>E5-E6</f>
        <v>419982060.51988554</v>
      </c>
      <c r="F7" s="60">
        <f>F5-F6</f>
        <v>1698101052</v>
      </c>
    </row>
    <row r="8" spans="1:6" s="3" customFormat="1" ht="41.25" customHeight="1" thickBot="1">
      <c r="A8" s="200" t="s">
        <v>139</v>
      </c>
      <c r="B8" s="201">
        <f>'تسهیم هزینه های اداری و فروش'!F11</f>
        <v>76794390.313813478</v>
      </c>
      <c r="C8" s="201">
        <f>'تسهیم هزینه های اداری و فروش'!F12</f>
        <v>80882788.859844163</v>
      </c>
      <c r="D8" s="201">
        <f>'تسهیم هزینه های اداری و فروش'!F13</f>
        <v>67614828.665356562</v>
      </c>
      <c r="E8" s="201">
        <f>'تسهیم هزینه های اداری و فروش'!F14</f>
        <v>49087992.160985798</v>
      </c>
      <c r="F8" s="202">
        <f>SUM(B8:E8)</f>
        <v>274380000</v>
      </c>
    </row>
    <row r="9" spans="1:6" s="3" customFormat="1" ht="41.25" customHeight="1" thickBot="1">
      <c r="A9" s="203" t="s">
        <v>140</v>
      </c>
      <c r="B9" s="204">
        <f>B7-B8</f>
        <v>237197279.26873323</v>
      </c>
      <c r="C9" s="204">
        <f t="shared" ref="C9:F9" si="0">C7-C8</f>
        <v>419211221.60014397</v>
      </c>
      <c r="D9" s="204">
        <f t="shared" si="0"/>
        <v>396418482.77222353</v>
      </c>
      <c r="E9" s="204">
        <f t="shared" si="0"/>
        <v>370894068.35889971</v>
      </c>
      <c r="F9" s="205">
        <f t="shared" si="0"/>
        <v>1423721052</v>
      </c>
    </row>
    <row r="10" spans="1:6" s="3" customFormat="1" ht="41.25" customHeight="1" thickBot="1">
      <c r="A10" s="206" t="s">
        <v>141</v>
      </c>
      <c r="B10" s="207">
        <f>B9*25%</f>
        <v>59299319.817183308</v>
      </c>
      <c r="C10" s="207">
        <f t="shared" ref="C10:E10" si="1">C9*25%</f>
        <v>104802805.40003599</v>
      </c>
      <c r="D10" s="207">
        <f t="shared" si="1"/>
        <v>99104620.693055883</v>
      </c>
      <c r="E10" s="207">
        <f t="shared" si="1"/>
        <v>92723517.089724928</v>
      </c>
      <c r="F10" s="208">
        <f>SUM(B10:E10)</f>
        <v>355930263.00000012</v>
      </c>
    </row>
    <row r="11" spans="1:6" s="3" customFormat="1" ht="41.25" customHeight="1" thickBot="1">
      <c r="A11" s="315" t="s">
        <v>15</v>
      </c>
      <c r="B11" s="316">
        <f>B9-B10</f>
        <v>177897959.45154992</v>
      </c>
      <c r="C11" s="316">
        <f t="shared" ref="C11:E11" si="2">C9-C10</f>
        <v>314408416.20010799</v>
      </c>
      <c r="D11" s="316">
        <f t="shared" si="2"/>
        <v>297313862.07916766</v>
      </c>
      <c r="E11" s="316">
        <f t="shared" si="2"/>
        <v>278170551.26917481</v>
      </c>
      <c r="F11" s="317">
        <f>SUM(B11:E11)</f>
        <v>1067790789.0000005</v>
      </c>
    </row>
  </sheetData>
  <mergeCells count="3">
    <mergeCell ref="A1:F1"/>
    <mergeCell ref="A2:F2"/>
    <mergeCell ref="A3:F3"/>
  </mergeCells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rightToLeft="1" workbookViewId="0">
      <selection activeCell="D9" sqref="D9"/>
    </sheetView>
  </sheetViews>
  <sheetFormatPr defaultColWidth="22.109375" defaultRowHeight="21.6"/>
  <cols>
    <col min="1" max="1" width="27.44140625" style="29" bestFit="1" customWidth="1"/>
    <col min="2" max="6" width="20.6640625" style="2" customWidth="1"/>
    <col min="7" max="16384" width="22.109375" style="2"/>
  </cols>
  <sheetData>
    <row r="1" spans="1:6" s="6" customFormat="1" ht="30.75" customHeight="1" thickTop="1">
      <c r="A1" s="402" t="s">
        <v>29</v>
      </c>
      <c r="B1" s="403"/>
      <c r="C1" s="403"/>
      <c r="D1" s="403"/>
      <c r="E1" s="403"/>
      <c r="F1" s="404"/>
    </row>
    <row r="2" spans="1:6" s="6" customFormat="1" ht="30.75" customHeight="1">
      <c r="A2" s="405" t="s">
        <v>51</v>
      </c>
      <c r="B2" s="406"/>
      <c r="C2" s="406"/>
      <c r="D2" s="406"/>
      <c r="E2" s="406"/>
      <c r="F2" s="407"/>
    </row>
    <row r="3" spans="1:6" s="6" customFormat="1" ht="30.75" customHeight="1" thickBot="1">
      <c r="A3" s="408" t="s">
        <v>226</v>
      </c>
      <c r="B3" s="409"/>
      <c r="C3" s="409"/>
      <c r="D3" s="409"/>
      <c r="E3" s="409"/>
      <c r="F3" s="410"/>
    </row>
    <row r="4" spans="1:6" s="22" customFormat="1" ht="41.25" customHeight="1" thickTop="1" thickBot="1">
      <c r="A4" s="48" t="s">
        <v>0</v>
      </c>
      <c r="B4" s="36" t="s">
        <v>2</v>
      </c>
      <c r="C4" s="36" t="s">
        <v>20</v>
      </c>
      <c r="D4" s="36" t="s">
        <v>3</v>
      </c>
      <c r="E4" s="36" t="s">
        <v>4</v>
      </c>
      <c r="F4" s="49" t="s">
        <v>22</v>
      </c>
    </row>
    <row r="5" spans="1:6" s="3" customFormat="1" ht="41.25" customHeight="1" thickTop="1" thickBot="1">
      <c r="A5" s="174" t="s">
        <v>142</v>
      </c>
      <c r="B5" s="175">
        <v>46500000</v>
      </c>
      <c r="C5" s="175">
        <v>0</v>
      </c>
      <c r="D5" s="175">
        <v>56200000</v>
      </c>
      <c r="E5" s="175">
        <v>0</v>
      </c>
      <c r="F5" s="176">
        <f>SUM(B5:E5)</f>
        <v>102700000</v>
      </c>
    </row>
    <row r="6" spans="1:6" s="3" customFormat="1" ht="41.25" customHeight="1" thickBot="1">
      <c r="A6" s="177" t="s">
        <v>143</v>
      </c>
      <c r="B6" s="178">
        <v>0</v>
      </c>
      <c r="C6" s="178">
        <v>23000000</v>
      </c>
      <c r="D6" s="178">
        <v>0</v>
      </c>
      <c r="E6" s="178">
        <v>35000000</v>
      </c>
      <c r="F6" s="179">
        <f>SUM(B6:E6)</f>
        <v>58000000</v>
      </c>
    </row>
    <row r="7" spans="1:6" s="3" customFormat="1" ht="41.25" customHeight="1" thickBot="1">
      <c r="A7" s="195" t="s">
        <v>51</v>
      </c>
      <c r="B7" s="196">
        <f>SUM(B5:B6)</f>
        <v>46500000</v>
      </c>
      <c r="C7" s="196">
        <f>SUM(C5:C6)</f>
        <v>23000000</v>
      </c>
      <c r="D7" s="196">
        <f>SUM(D5:D6)</f>
        <v>56200000</v>
      </c>
      <c r="E7" s="196">
        <f>SUM(E5:E6)</f>
        <v>35000000</v>
      </c>
      <c r="F7" s="197">
        <f>SUM(F5:F6)</f>
        <v>160700000</v>
      </c>
    </row>
    <row r="8" spans="1:6" ht="32.25" customHeight="1">
      <c r="A8" s="108"/>
      <c r="B8" s="109"/>
      <c r="C8" s="109"/>
      <c r="D8" s="109"/>
      <c r="E8" s="109"/>
      <c r="F8" s="109"/>
    </row>
    <row r="9" spans="1:6" ht="32.25" customHeight="1">
      <c r="A9" s="108"/>
      <c r="B9" s="109"/>
      <c r="C9" s="109"/>
      <c r="D9" s="109"/>
      <c r="E9" s="109"/>
      <c r="F9" s="109"/>
    </row>
    <row r="10" spans="1:6" ht="32.25" customHeight="1">
      <c r="A10" s="108"/>
      <c r="B10" s="109"/>
      <c r="C10" s="109"/>
      <c r="D10" s="109"/>
      <c r="E10" s="109"/>
      <c r="F10" s="109"/>
    </row>
    <row r="11" spans="1:6" ht="32.25" customHeight="1">
      <c r="A11" s="108"/>
      <c r="B11" s="109"/>
      <c r="C11" s="109"/>
      <c r="D11" s="109"/>
      <c r="E11" s="109"/>
      <c r="F11" s="109"/>
    </row>
    <row r="12" spans="1:6" ht="32.25" customHeight="1">
      <c r="A12" s="108"/>
      <c r="B12" s="110"/>
      <c r="C12" s="110"/>
      <c r="D12" s="110"/>
      <c r="E12" s="110"/>
      <c r="F12" s="55"/>
    </row>
    <row r="13" spans="1:6" ht="32.25" customHeight="1">
      <c r="A13" s="108"/>
      <c r="B13" s="65"/>
      <c r="C13" s="65"/>
      <c r="D13" s="65"/>
      <c r="E13" s="65"/>
      <c r="F13" s="199"/>
    </row>
    <row r="14" spans="1:6" ht="27.6">
      <c r="A14" s="108"/>
      <c r="B14" s="112"/>
      <c r="C14" s="112"/>
      <c r="D14" s="112"/>
      <c r="E14" s="112"/>
      <c r="F14" s="199"/>
    </row>
    <row r="15" spans="1:6">
      <c r="F15" s="199"/>
    </row>
    <row r="16" spans="1:6">
      <c r="F16" s="199"/>
    </row>
  </sheetData>
  <mergeCells count="3">
    <mergeCell ref="A1:F1"/>
    <mergeCell ref="A2:F2"/>
    <mergeCell ref="A3:F3"/>
  </mergeCells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9"/>
  <sheetViews>
    <sheetView rightToLeft="1" workbookViewId="0">
      <selection activeCell="G4" sqref="G4"/>
    </sheetView>
  </sheetViews>
  <sheetFormatPr defaultColWidth="22.109375" defaultRowHeight="21.6"/>
  <cols>
    <col min="1" max="1" width="49.44140625" style="29" customWidth="1"/>
    <col min="2" max="2" width="26" style="239" bestFit="1" customWidth="1"/>
    <col min="3" max="3" width="22.109375" style="239" bestFit="1" customWidth="1"/>
    <col min="4" max="4" width="22" style="239" bestFit="1" customWidth="1"/>
    <col min="5" max="5" width="22.109375" style="239" bestFit="1" customWidth="1"/>
    <col min="6" max="6" width="25.88671875" style="239" customWidth="1"/>
    <col min="7" max="16384" width="22.109375" style="2"/>
  </cols>
  <sheetData>
    <row r="1" spans="1:8" s="6" customFormat="1" ht="30.75" customHeight="1" thickTop="1">
      <c r="A1" s="402" t="s">
        <v>29</v>
      </c>
      <c r="B1" s="403"/>
      <c r="C1" s="403"/>
      <c r="D1" s="403"/>
      <c r="E1" s="403"/>
      <c r="F1" s="404"/>
    </row>
    <row r="2" spans="1:8" s="6" customFormat="1" ht="30.75" customHeight="1">
      <c r="A2" s="405" t="s">
        <v>52</v>
      </c>
      <c r="B2" s="406"/>
      <c r="C2" s="406"/>
      <c r="D2" s="406"/>
      <c r="E2" s="406"/>
      <c r="F2" s="407"/>
    </row>
    <row r="3" spans="1:8" s="6" customFormat="1" ht="30.75" customHeight="1" thickBot="1">
      <c r="A3" s="408" t="s">
        <v>226</v>
      </c>
      <c r="B3" s="409"/>
      <c r="C3" s="409"/>
      <c r="D3" s="409"/>
      <c r="E3" s="409"/>
      <c r="F3" s="410"/>
    </row>
    <row r="4" spans="1:8" s="22" customFormat="1" ht="36.75" customHeight="1" thickTop="1" thickBot="1">
      <c r="A4" s="113" t="s">
        <v>0</v>
      </c>
      <c r="B4" s="36" t="s">
        <v>2</v>
      </c>
      <c r="C4" s="36" t="s">
        <v>20</v>
      </c>
      <c r="D4" s="36" t="s">
        <v>3</v>
      </c>
      <c r="E4" s="146" t="s">
        <v>4</v>
      </c>
      <c r="F4" s="157" t="s">
        <v>22</v>
      </c>
    </row>
    <row r="5" spans="1:8" s="3" customFormat="1" ht="34.5" customHeight="1" thickTop="1" thickBot="1">
      <c r="A5" s="209" t="s">
        <v>144</v>
      </c>
      <c r="B5" s="241">
        <v>340000000</v>
      </c>
      <c r="C5" s="241">
        <f>B16</f>
        <v>410205000</v>
      </c>
      <c r="D5" s="241">
        <f>C16</f>
        <v>557495000</v>
      </c>
      <c r="E5" s="241">
        <f>D16</f>
        <v>805215000</v>
      </c>
      <c r="F5" s="242">
        <f>B5</f>
        <v>340000000</v>
      </c>
    </row>
    <row r="6" spans="1:8" ht="34.5" customHeight="1" thickBot="1">
      <c r="A6" s="210" t="s">
        <v>145</v>
      </c>
      <c r="B6" s="164"/>
      <c r="C6" s="164"/>
      <c r="D6" s="164"/>
      <c r="E6" s="164"/>
      <c r="F6" s="166"/>
    </row>
    <row r="7" spans="1:8" ht="34.5" customHeight="1" thickBot="1">
      <c r="A7" s="125" t="s">
        <v>150</v>
      </c>
      <c r="B7" s="126">
        <v>750000000</v>
      </c>
      <c r="C7" s="126">
        <f>'بودجه فروش فصلی'!D10*30%</f>
        <v>888000000</v>
      </c>
      <c r="D7" s="126">
        <f>'بودجه فروش فصلی'!G10*30%</f>
        <v>1108500000</v>
      </c>
      <c r="E7" s="126">
        <f>'بودجه فروش فصلی'!J10*30%</f>
        <v>1108500000</v>
      </c>
      <c r="F7" s="127">
        <f t="shared" ref="F7:F8" si="0">SUM(B7:E7)</f>
        <v>3855000000</v>
      </c>
    </row>
    <row r="8" spans="1:8" ht="34.5" customHeight="1" thickBot="1">
      <c r="A8" s="132" t="s">
        <v>149</v>
      </c>
      <c r="B8" s="16">
        <f>'بودجه فروش فصلی'!D10*70%</f>
        <v>2071999999.9999998</v>
      </c>
      <c r="C8" s="16">
        <f>'بودجه فروش فصلی'!G10*70%</f>
        <v>2586500000</v>
      </c>
      <c r="D8" s="16">
        <f>'بودجه فروش فصلی'!J10*70%</f>
        <v>2586500000</v>
      </c>
      <c r="E8" s="16">
        <f>'بودجه فروش فصلی'!M10*70%</f>
        <v>3010000000</v>
      </c>
      <c r="F8" s="60">
        <f t="shared" si="0"/>
        <v>10255000000</v>
      </c>
    </row>
    <row r="9" spans="1:8" ht="34.5" customHeight="1" thickBot="1">
      <c r="A9" s="211" t="s">
        <v>146</v>
      </c>
      <c r="B9" s="161">
        <f>B5+B7+B8</f>
        <v>3162000000</v>
      </c>
      <c r="C9" s="161">
        <f>C5+C7+C8</f>
        <v>3884705000</v>
      </c>
      <c r="D9" s="161">
        <f>D5+D7+D8</f>
        <v>4252495000</v>
      </c>
      <c r="E9" s="161">
        <f>E5+E7+E8</f>
        <v>4923715000</v>
      </c>
      <c r="F9" s="165">
        <f>F5+F7+F8</f>
        <v>14450000000</v>
      </c>
      <c r="G9" s="55"/>
      <c r="H9" s="55"/>
    </row>
    <row r="10" spans="1:8" ht="34.5" customHeight="1" thickBot="1">
      <c r="A10" s="212" t="s">
        <v>6</v>
      </c>
      <c r="B10" s="213">
        <f>'بودجه خرید مواد اولیه '!F31</f>
        <v>2172600000</v>
      </c>
      <c r="C10" s="213">
        <f>'بودجه خرید مواد اولیه '!H31</f>
        <v>2709000000</v>
      </c>
      <c r="D10" s="213">
        <f>'بودجه خرید مواد اولیه '!J31</f>
        <v>2784600000</v>
      </c>
      <c r="E10" s="213">
        <f>'بودجه خرید مواد اولیه '!L31</f>
        <v>3197400000</v>
      </c>
      <c r="F10" s="214">
        <f>SUM(B10:E10)</f>
        <v>10863600000</v>
      </c>
      <c r="G10" s="55"/>
    </row>
    <row r="11" spans="1:8" ht="34.5" customHeight="1" thickBot="1">
      <c r="A11" s="122" t="s">
        <v>7</v>
      </c>
      <c r="B11" s="123">
        <f>'بودجه دستمزد مستقیم'!F11</f>
        <v>263250000</v>
      </c>
      <c r="C11" s="123">
        <f>'بودجه دستمزد مستقیم'!J11</f>
        <v>326100000</v>
      </c>
      <c r="D11" s="123">
        <f>'بودجه دستمزد مستقیم'!N11</f>
        <v>335100000</v>
      </c>
      <c r="E11" s="123">
        <f>'بودجه دستمزد مستقیم'!R11</f>
        <v>384300000</v>
      </c>
      <c r="F11" s="124">
        <f>SUM(B11:E11)</f>
        <v>1308750000</v>
      </c>
      <c r="G11" s="55"/>
    </row>
    <row r="12" spans="1:8" ht="34.5" customHeight="1" thickBot="1">
      <c r="A12" s="125" t="s">
        <v>14</v>
      </c>
      <c r="B12" s="126">
        <f>'بودجه سربار ساخت'!B15-'بودجه سربار ساخت'!B10</f>
        <v>202410000</v>
      </c>
      <c r="C12" s="126">
        <f>'بودجه سربار ساخت'!C15-'بودجه سربار ساخت'!C10</f>
        <v>204580000</v>
      </c>
      <c r="D12" s="126">
        <f>'بودجه سربار ساخت'!D15-'بودجه سربار ساخت'!D10</f>
        <v>203620000</v>
      </c>
      <c r="E12" s="126">
        <f>'بودجه سربار ساخت'!E15-'بودجه سربار ساخت'!E10</f>
        <v>208410000</v>
      </c>
      <c r="F12" s="127">
        <f>SUM(B12:E12)</f>
        <v>819020000</v>
      </c>
      <c r="G12" s="55"/>
    </row>
    <row r="13" spans="1:8" ht="34.5" customHeight="1" thickBot="1">
      <c r="A13" s="132" t="s">
        <v>9</v>
      </c>
      <c r="B13" s="16">
        <f>'بودجه هزینه های اداری و فروش'!B12-'بودجه هزینه های اداری و فروش'!B9</f>
        <v>67035000</v>
      </c>
      <c r="C13" s="16">
        <f>'بودجه هزینه های اداری و فروش'!C12-'بودجه هزینه های اداری و فروش'!C9</f>
        <v>64530000</v>
      </c>
      <c r="D13" s="16">
        <f>'بودجه هزینه های اداری و فروش'!D12-'بودجه هزینه های اداری و فروش'!D9</f>
        <v>67760000</v>
      </c>
      <c r="E13" s="16">
        <f>'بودجه هزینه های اداری و فروش'!E12-'بودجه هزینه های اداری و فروش'!E9</f>
        <v>65305000</v>
      </c>
      <c r="F13" s="60">
        <f>SUM(B13:E13)</f>
        <v>264630000</v>
      </c>
    </row>
    <row r="14" spans="1:8" ht="34.5" customHeight="1" thickBot="1">
      <c r="A14" s="211" t="s">
        <v>147</v>
      </c>
      <c r="B14" s="161">
        <f>SUM(B10:B13)</f>
        <v>2705295000</v>
      </c>
      <c r="C14" s="161">
        <f t="shared" ref="C14:E14" si="1">SUM(C10:C13)</f>
        <v>3304210000</v>
      </c>
      <c r="D14" s="161">
        <f t="shared" si="1"/>
        <v>3391080000</v>
      </c>
      <c r="E14" s="161">
        <f t="shared" si="1"/>
        <v>3855415000</v>
      </c>
      <c r="F14" s="165">
        <f>F13+F12+F11+F10</f>
        <v>13256000000</v>
      </c>
    </row>
    <row r="15" spans="1:8" s="6" customFormat="1" ht="34.5" customHeight="1" thickBot="1">
      <c r="A15" s="122" t="s">
        <v>148</v>
      </c>
      <c r="B15" s="217">
        <f>'بودجه مخارج سرمایه ای'!B7</f>
        <v>46500000</v>
      </c>
      <c r="C15" s="217">
        <f>'بودجه مخارج سرمایه ای'!C7</f>
        <v>23000000</v>
      </c>
      <c r="D15" s="217">
        <f>'بودجه مخارج سرمایه ای'!D7</f>
        <v>56200000</v>
      </c>
      <c r="E15" s="217">
        <f>'بودجه مخارج سرمایه ای'!E7</f>
        <v>35000000</v>
      </c>
      <c r="F15" s="218">
        <f>SUM(B15:E15)</f>
        <v>160700000</v>
      </c>
    </row>
    <row r="16" spans="1:8" s="6" customFormat="1" ht="34.5" customHeight="1" thickBot="1">
      <c r="A16" s="219" t="s">
        <v>153</v>
      </c>
      <c r="B16" s="220">
        <f>B9-B14-B15</f>
        <v>410205000</v>
      </c>
      <c r="C16" s="220">
        <f t="shared" ref="C16:E16" si="2">C9-C14-C15</f>
        <v>557495000</v>
      </c>
      <c r="D16" s="220">
        <f t="shared" si="2"/>
        <v>805215000</v>
      </c>
      <c r="E16" s="220">
        <f t="shared" si="2"/>
        <v>1033300000</v>
      </c>
      <c r="F16" s="220">
        <f>F9-F14-F15</f>
        <v>1033300000</v>
      </c>
    </row>
    <row r="17" spans="5:5" ht="22.2" thickTop="1">
      <c r="E17" s="240"/>
    </row>
    <row r="18" spans="5:5">
      <c r="E18" s="240"/>
    </row>
    <row r="19" spans="5:5">
      <c r="E19" s="240"/>
    </row>
  </sheetData>
  <mergeCells count="3">
    <mergeCell ref="A1:F1"/>
    <mergeCell ref="A2:F2"/>
    <mergeCell ref="A3:F3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M35"/>
  <sheetViews>
    <sheetView rightToLeft="1" topLeftCell="A19" workbookViewId="0">
      <selection activeCell="K24" sqref="K24"/>
    </sheetView>
  </sheetViews>
  <sheetFormatPr defaultRowHeight="24" customHeight="1"/>
  <cols>
    <col min="1" max="1" width="38.44140625" style="254" customWidth="1"/>
    <col min="2" max="2" width="1.6640625" customWidth="1"/>
    <col min="3" max="3" width="18.44140625" style="246" bestFit="1" customWidth="1"/>
    <col min="4" max="5" width="1.6640625" style="237" customWidth="1"/>
    <col min="6" max="6" width="17.109375" style="246" customWidth="1"/>
    <col min="7" max="8" width="1.6640625" customWidth="1"/>
    <col min="9" max="9" width="4" customWidth="1"/>
    <col min="10" max="10" width="14.6640625" bestFit="1" customWidth="1"/>
    <col min="11" max="11" width="12.44140625" bestFit="1" customWidth="1"/>
  </cols>
  <sheetData>
    <row r="1" spans="1:13" ht="28.2" thickTop="1">
      <c r="A1" s="425" t="s">
        <v>29</v>
      </c>
      <c r="B1" s="426"/>
      <c r="C1" s="426"/>
      <c r="D1" s="426"/>
      <c r="E1" s="426"/>
      <c r="F1" s="426"/>
      <c r="G1" s="426"/>
      <c r="H1" s="426"/>
      <c r="I1" s="427"/>
      <c r="J1" s="221"/>
      <c r="K1" s="222"/>
      <c r="L1" s="221"/>
      <c r="M1" s="221"/>
    </row>
    <row r="2" spans="1:13" ht="27.6">
      <c r="A2" s="428" t="s">
        <v>155</v>
      </c>
      <c r="B2" s="429"/>
      <c r="C2" s="429"/>
      <c r="D2" s="429"/>
      <c r="E2" s="429"/>
      <c r="F2" s="429"/>
      <c r="G2" s="429"/>
      <c r="H2" s="429"/>
      <c r="I2" s="430"/>
      <c r="J2" s="221"/>
      <c r="K2" s="222"/>
      <c r="L2" s="221"/>
      <c r="M2" s="221"/>
    </row>
    <row r="3" spans="1:13" ht="28.2" thickBot="1">
      <c r="A3" s="431" t="s">
        <v>217</v>
      </c>
      <c r="B3" s="432"/>
      <c r="C3" s="432"/>
      <c r="D3" s="432"/>
      <c r="E3" s="432"/>
      <c r="F3" s="432"/>
      <c r="G3" s="432"/>
      <c r="H3" s="432"/>
      <c r="I3" s="433"/>
      <c r="J3" s="221"/>
      <c r="K3" s="222"/>
      <c r="L3" s="221"/>
      <c r="M3" s="221"/>
    </row>
    <row r="4" spans="1:13" thickTop="1">
      <c r="A4" s="248" t="s">
        <v>156</v>
      </c>
      <c r="B4" s="222"/>
      <c r="C4" s="260" t="s">
        <v>184</v>
      </c>
      <c r="D4" s="233"/>
      <c r="E4" s="233"/>
      <c r="F4" s="260" t="s">
        <v>185</v>
      </c>
      <c r="I4" s="223"/>
      <c r="J4" s="221"/>
      <c r="K4" s="222"/>
      <c r="L4" s="221"/>
      <c r="M4" s="221"/>
    </row>
    <row r="5" spans="1:13" ht="23.4">
      <c r="A5" s="249" t="s">
        <v>159</v>
      </c>
      <c r="B5" s="224"/>
      <c r="C5" s="243" t="s">
        <v>160</v>
      </c>
      <c r="D5" s="234"/>
      <c r="E5" s="234"/>
      <c r="F5" s="243" t="s">
        <v>160</v>
      </c>
      <c r="I5" s="223"/>
      <c r="J5" s="221"/>
      <c r="K5" s="224"/>
      <c r="L5" s="221"/>
      <c r="M5" s="221"/>
    </row>
    <row r="6" spans="1:13" ht="21.6">
      <c r="A6" s="250" t="s">
        <v>161</v>
      </c>
      <c r="B6" s="224"/>
      <c r="C6" s="243">
        <f>F6+'بودجه مخارج سرمایه ای'!F7-'بودجه هزینه های اداری و فروش'!F9-'بودجه سربار ساخت'!F10</f>
        <v>394950000</v>
      </c>
      <c r="D6" s="234"/>
      <c r="E6" s="234"/>
      <c r="F6" s="243">
        <v>250000000</v>
      </c>
      <c r="I6" s="223"/>
      <c r="J6" s="221"/>
      <c r="K6" s="224"/>
      <c r="L6" s="221"/>
      <c r="M6" s="221"/>
    </row>
    <row r="7" spans="1:13" ht="21.6">
      <c r="A7" s="250" t="s">
        <v>162</v>
      </c>
      <c r="B7" s="224"/>
      <c r="C7" s="244">
        <v>100000000</v>
      </c>
      <c r="D7" s="235"/>
      <c r="E7" s="235"/>
      <c r="F7" s="244">
        <v>100000000</v>
      </c>
      <c r="I7" s="223"/>
      <c r="J7" s="221"/>
      <c r="K7" s="225"/>
      <c r="L7" s="221"/>
      <c r="M7" s="221"/>
    </row>
    <row r="8" spans="1:13" s="227" customFormat="1" ht="29.4" customHeight="1">
      <c r="A8" s="249" t="s">
        <v>163</v>
      </c>
      <c r="B8" s="222"/>
      <c r="C8" s="263">
        <f>SUM(C6:C7)</f>
        <v>494950000</v>
      </c>
      <c r="D8" s="236"/>
      <c r="E8" s="236"/>
      <c r="F8" s="263">
        <f>SUM(F6:F7)</f>
        <v>350000000</v>
      </c>
      <c r="I8" s="228"/>
      <c r="J8" s="229"/>
      <c r="K8" s="226"/>
      <c r="L8" s="229"/>
      <c r="M8" s="229"/>
    </row>
    <row r="9" spans="1:13" ht="23.4">
      <c r="A9" s="249" t="s">
        <v>164</v>
      </c>
      <c r="B9" s="224"/>
      <c r="C9" s="244"/>
      <c r="D9" s="235"/>
      <c r="E9" s="235"/>
      <c r="F9" s="244"/>
      <c r="I9" s="223"/>
      <c r="J9" s="221"/>
      <c r="K9" s="225"/>
      <c r="L9" s="221"/>
      <c r="M9" s="221"/>
    </row>
    <row r="10" spans="1:13" ht="21.6">
      <c r="A10" s="250" t="s">
        <v>183</v>
      </c>
      <c r="B10" s="224"/>
      <c r="C10" s="244">
        <v>263980167</v>
      </c>
      <c r="D10" s="235"/>
      <c r="E10" s="235"/>
      <c r="F10" s="244">
        <v>218509115</v>
      </c>
      <c r="I10" s="223"/>
      <c r="J10" s="221"/>
      <c r="K10" s="225"/>
      <c r="L10" s="221"/>
      <c r="M10" s="221"/>
    </row>
    <row r="11" spans="1:13" ht="21.6">
      <c r="A11" s="250" t="s">
        <v>165</v>
      </c>
      <c r="B11" s="224"/>
      <c r="C11" s="244">
        <v>1290000000</v>
      </c>
      <c r="D11" s="235"/>
      <c r="E11" s="235"/>
      <c r="F11" s="244">
        <v>750000000</v>
      </c>
      <c r="I11" s="223"/>
      <c r="J11" s="221"/>
      <c r="K11" s="225"/>
      <c r="L11" s="221"/>
      <c r="M11" s="221"/>
    </row>
    <row r="12" spans="1:13" ht="21.6">
      <c r="A12" s="250" t="s">
        <v>166</v>
      </c>
      <c r="B12" s="224"/>
      <c r="C12" s="244">
        <f>'بودجه نقدی'!F16</f>
        <v>1033300000</v>
      </c>
      <c r="D12" s="235"/>
      <c r="E12" s="235"/>
      <c r="F12" s="244">
        <f>'بودجه نقدی'!B5</f>
        <v>340000000</v>
      </c>
      <c r="I12" s="223"/>
      <c r="J12" s="221"/>
      <c r="K12" s="225"/>
      <c r="L12" s="221"/>
      <c r="M12" s="221"/>
    </row>
    <row r="13" spans="1:13" s="227" customFormat="1" ht="29.4" customHeight="1">
      <c r="A13" s="249" t="s">
        <v>167</v>
      </c>
      <c r="B13" s="222"/>
      <c r="C13" s="263">
        <f>SUM(C10:C12)</f>
        <v>2587280167</v>
      </c>
      <c r="D13" s="236"/>
      <c r="E13" s="236"/>
      <c r="F13" s="263">
        <f>SUM(F10:F12)</f>
        <v>1308509115</v>
      </c>
      <c r="I13" s="228"/>
      <c r="J13" s="256"/>
      <c r="K13" s="226"/>
      <c r="L13" s="229"/>
      <c r="M13" s="229"/>
    </row>
    <row r="14" spans="1:13" s="227" customFormat="1" ht="29.4" customHeight="1" thickBot="1">
      <c r="A14" s="251" t="s">
        <v>168</v>
      </c>
      <c r="B14" s="222"/>
      <c r="C14" s="261">
        <f>C13+C8</f>
        <v>3082230167</v>
      </c>
      <c r="D14" s="236"/>
      <c r="E14" s="236"/>
      <c r="F14" s="261">
        <f>F13+F8</f>
        <v>1658509115</v>
      </c>
      <c r="I14" s="228"/>
      <c r="J14" s="229"/>
      <c r="K14" s="226"/>
      <c r="L14" s="229"/>
      <c r="M14" s="229"/>
    </row>
    <row r="15" spans="1:13" thickTop="1">
      <c r="A15" s="249" t="s">
        <v>169</v>
      </c>
      <c r="D15" s="235"/>
      <c r="E15" s="235"/>
      <c r="I15" s="223"/>
      <c r="J15" s="221"/>
      <c r="K15" s="230"/>
      <c r="L15" s="221"/>
      <c r="M15" s="221"/>
    </row>
    <row r="16" spans="1:13" ht="23.4">
      <c r="A16" s="249" t="s">
        <v>170</v>
      </c>
      <c r="B16" s="225"/>
      <c r="C16" s="244"/>
      <c r="D16" s="235"/>
      <c r="E16" s="235"/>
      <c r="F16" s="244"/>
      <c r="I16" s="223"/>
      <c r="J16" s="221"/>
      <c r="K16" s="230"/>
      <c r="L16" s="221"/>
      <c r="M16" s="221"/>
    </row>
    <row r="17" spans="1:13" ht="21.6">
      <c r="A17" s="250" t="s">
        <v>171</v>
      </c>
      <c r="B17" s="225"/>
      <c r="C17" s="244">
        <v>1000000000</v>
      </c>
      <c r="D17" s="235"/>
      <c r="E17" s="235"/>
      <c r="F17" s="244">
        <v>1000000000</v>
      </c>
      <c r="I17" s="223"/>
      <c r="J17" s="221"/>
      <c r="K17" s="230"/>
      <c r="L17" s="221"/>
      <c r="M17" s="221"/>
    </row>
    <row r="18" spans="1:13" ht="21.6">
      <c r="A18" s="250" t="s">
        <v>13</v>
      </c>
      <c r="B18" s="225"/>
      <c r="C18" s="244">
        <f>F18+'بودجه سود و زیان'!F11</f>
        <v>1573599904.0000005</v>
      </c>
      <c r="D18" s="235"/>
      <c r="E18" s="235"/>
      <c r="F18" s="244">
        <f>625809115-120000000</f>
        <v>505809115</v>
      </c>
      <c r="I18" s="223"/>
      <c r="J18" s="257"/>
      <c r="K18" s="230"/>
      <c r="L18" s="221"/>
      <c r="M18" s="221"/>
    </row>
    <row r="19" spans="1:13" s="227" customFormat="1" ht="29.4" customHeight="1" thickBot="1">
      <c r="A19" s="249" t="s">
        <v>172</v>
      </c>
      <c r="B19" s="226"/>
      <c r="C19" s="262">
        <f>C18+C17</f>
        <v>2573599904.0000005</v>
      </c>
      <c r="D19" s="233"/>
      <c r="E19" s="233"/>
      <c r="F19" s="262">
        <f>F18+F17</f>
        <v>1505809115</v>
      </c>
      <c r="G19" s="231"/>
      <c r="H19" s="231"/>
      <c r="I19" s="232"/>
      <c r="J19" s="229"/>
      <c r="K19" s="231"/>
      <c r="L19" s="229"/>
      <c r="M19" s="229"/>
    </row>
    <row r="20" spans="1:13" ht="28.2" thickTop="1">
      <c r="A20" s="425" t="s">
        <v>154</v>
      </c>
      <c r="B20" s="426"/>
      <c r="C20" s="426"/>
      <c r="D20" s="426"/>
      <c r="E20" s="426"/>
      <c r="F20" s="426"/>
      <c r="G20" s="426"/>
      <c r="H20" s="426"/>
      <c r="I20" s="427"/>
      <c r="J20" s="221"/>
      <c r="K20" s="222"/>
      <c r="L20" s="221"/>
      <c r="M20" s="221"/>
    </row>
    <row r="21" spans="1:13" ht="27.6">
      <c r="A21" s="428" t="s">
        <v>155</v>
      </c>
      <c r="B21" s="429"/>
      <c r="C21" s="429"/>
      <c r="D21" s="429"/>
      <c r="E21" s="429"/>
      <c r="F21" s="429"/>
      <c r="G21" s="429"/>
      <c r="H21" s="429"/>
      <c r="I21" s="430"/>
      <c r="J21" s="221"/>
      <c r="K21" s="222"/>
      <c r="L21" s="221"/>
      <c r="M21" s="221"/>
    </row>
    <row r="22" spans="1:13" ht="28.2" thickBot="1">
      <c r="A22" s="431" t="s">
        <v>230</v>
      </c>
      <c r="B22" s="432"/>
      <c r="C22" s="432"/>
      <c r="D22" s="432"/>
      <c r="E22" s="432"/>
      <c r="F22" s="432"/>
      <c r="G22" s="432"/>
      <c r="H22" s="432"/>
      <c r="I22" s="433"/>
      <c r="J22" s="221"/>
      <c r="K22" s="222"/>
      <c r="L22" s="221"/>
      <c r="M22" s="221"/>
    </row>
    <row r="23" spans="1:13" thickTop="1">
      <c r="A23" s="252" t="s">
        <v>173</v>
      </c>
      <c r="B23" s="222"/>
      <c r="C23" s="260" t="s">
        <v>157</v>
      </c>
      <c r="D23" s="233"/>
      <c r="E23" s="233"/>
      <c r="F23" s="260" t="s">
        <v>158</v>
      </c>
      <c r="I23" s="223"/>
      <c r="J23" s="221"/>
      <c r="K23" s="221"/>
      <c r="L23" s="221"/>
      <c r="M23" s="221"/>
    </row>
    <row r="24" spans="1:13" ht="23.4">
      <c r="A24" s="249" t="s">
        <v>174</v>
      </c>
      <c r="B24" s="225"/>
      <c r="C24" s="244"/>
      <c r="F24" s="244"/>
      <c r="I24" s="223"/>
      <c r="J24" s="221"/>
      <c r="K24" s="221"/>
      <c r="L24" s="221"/>
      <c r="M24" s="221"/>
    </row>
    <row r="25" spans="1:13" ht="21.6">
      <c r="A25" s="250" t="s">
        <v>175</v>
      </c>
      <c r="B25" s="225"/>
      <c r="C25" s="247">
        <v>120000000</v>
      </c>
      <c r="F25" s="247">
        <v>120000000</v>
      </c>
      <c r="I25" s="223"/>
    </row>
    <row r="26" spans="1:13" s="227" customFormat="1" ht="29.4" customHeight="1">
      <c r="A26" s="249" t="s">
        <v>176</v>
      </c>
      <c r="B26" s="226"/>
      <c r="C26" s="245">
        <f>C25</f>
        <v>120000000</v>
      </c>
      <c r="D26" s="238"/>
      <c r="E26" s="238"/>
      <c r="F26" s="245">
        <f>F25</f>
        <v>120000000</v>
      </c>
      <c r="I26" s="228"/>
    </row>
    <row r="27" spans="1:13" ht="18" customHeight="1">
      <c r="A27" s="249" t="s">
        <v>177</v>
      </c>
      <c r="B27" s="224"/>
      <c r="C27" s="243"/>
      <c r="F27" s="243"/>
      <c r="I27" s="223"/>
    </row>
    <row r="28" spans="1:13" ht="21.6">
      <c r="A28" s="250" t="s">
        <v>178</v>
      </c>
      <c r="B28" s="225"/>
      <c r="C28" s="244">
        <f>F28</f>
        <v>32700000</v>
      </c>
      <c r="F28" s="244">
        <v>32700000</v>
      </c>
      <c r="I28" s="223"/>
    </row>
    <row r="29" spans="1:13" ht="21.6">
      <c r="A29" s="250" t="s">
        <v>179</v>
      </c>
      <c r="B29" s="225"/>
      <c r="C29" s="244">
        <f>'بودجه سود و زیان'!F10</f>
        <v>355930263.00000012</v>
      </c>
      <c r="F29" s="244">
        <v>0</v>
      </c>
      <c r="I29" s="223"/>
    </row>
    <row r="30" spans="1:13" s="227" customFormat="1" ht="24" customHeight="1">
      <c r="A30" s="249" t="s">
        <v>180</v>
      </c>
      <c r="B30" s="226"/>
      <c r="C30" s="263">
        <f>C29+C28</f>
        <v>388630263.00000012</v>
      </c>
      <c r="D30" s="238"/>
      <c r="E30" s="238"/>
      <c r="F30" s="263">
        <f>F29+F28</f>
        <v>32700000</v>
      </c>
      <c r="I30" s="228"/>
    </row>
    <row r="31" spans="1:13" ht="24" customHeight="1" thickBot="1">
      <c r="A31" s="249" t="s">
        <v>181</v>
      </c>
      <c r="C31" s="264">
        <f>C30+C26</f>
        <v>508630263.00000012</v>
      </c>
      <c r="F31" s="264">
        <f>F30+F26</f>
        <v>152700000</v>
      </c>
      <c r="I31" s="223"/>
    </row>
    <row r="32" spans="1:13" ht="24" customHeight="1" thickTop="1" thickBot="1">
      <c r="A32" s="249" t="s">
        <v>182</v>
      </c>
      <c r="B32" s="225"/>
      <c r="C32" s="261">
        <f>C31+C19</f>
        <v>3082230167.0000005</v>
      </c>
      <c r="D32" s="236"/>
      <c r="E32" s="236"/>
      <c r="F32" s="261">
        <f>F31+F19</f>
        <v>1658509115</v>
      </c>
      <c r="I32" s="223"/>
    </row>
    <row r="33" spans="1:12" ht="24" customHeight="1" thickTop="1">
      <c r="A33" s="253"/>
      <c r="I33" s="223"/>
    </row>
    <row r="34" spans="1:12" ht="24" customHeight="1" thickBot="1">
      <c r="A34" s="434"/>
      <c r="B34" s="435"/>
      <c r="C34" s="435"/>
      <c r="D34" s="435"/>
      <c r="E34" s="435"/>
      <c r="F34" s="435"/>
      <c r="G34" s="435"/>
      <c r="H34" s="435"/>
      <c r="I34" s="436"/>
      <c r="J34" s="221"/>
      <c r="K34" s="224"/>
      <c r="L34" s="221"/>
    </row>
    <row r="35" spans="1:12" ht="24" customHeight="1">
      <c r="K35" s="221"/>
    </row>
  </sheetData>
  <mergeCells count="7">
    <mergeCell ref="A20:I20"/>
    <mergeCell ref="A21:I21"/>
    <mergeCell ref="A22:I22"/>
    <mergeCell ref="A34:I34"/>
    <mergeCell ref="A1:I1"/>
    <mergeCell ref="A2:I2"/>
    <mergeCell ref="A3:I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D29"/>
  <sheetViews>
    <sheetView rightToLeft="1" topLeftCell="A10" workbookViewId="0">
      <selection activeCell="A4" sqref="A4"/>
    </sheetView>
  </sheetViews>
  <sheetFormatPr defaultColWidth="13.33203125" defaultRowHeight="27.6"/>
  <cols>
    <col min="1" max="1" width="55.109375" style="269" bestFit="1" customWidth="1"/>
    <col min="2" max="4" width="20.33203125" style="265" customWidth="1"/>
    <col min="5" max="16384" width="13.33203125" style="265"/>
  </cols>
  <sheetData>
    <row r="1" spans="1:4">
      <c r="A1" s="437" t="s">
        <v>29</v>
      </c>
      <c r="B1" s="438"/>
      <c r="C1" s="438"/>
      <c r="D1" s="439"/>
    </row>
    <row r="2" spans="1:4">
      <c r="A2" s="440" t="s">
        <v>224</v>
      </c>
      <c r="B2" s="441"/>
      <c r="C2" s="441"/>
      <c r="D2" s="442"/>
    </row>
    <row r="3" spans="1:4" ht="28.2" thickBot="1">
      <c r="A3" s="440" t="s">
        <v>225</v>
      </c>
      <c r="B3" s="441"/>
      <c r="C3" s="441"/>
      <c r="D3" s="442"/>
    </row>
    <row r="4" spans="1:4" ht="26.4" thickTop="1" thickBot="1">
      <c r="A4" s="354" t="s">
        <v>202</v>
      </c>
      <c r="B4" s="270" t="s">
        <v>40</v>
      </c>
      <c r="C4" s="270" t="s">
        <v>40</v>
      </c>
      <c r="D4" s="271" t="s">
        <v>40</v>
      </c>
    </row>
    <row r="5" spans="1:4" ht="32.25" customHeight="1" thickTop="1" thickBot="1">
      <c r="A5" s="363" t="s">
        <v>203</v>
      </c>
      <c r="B5" s="364"/>
      <c r="C5" s="364"/>
      <c r="D5" s="365"/>
    </row>
    <row r="6" spans="1:4" ht="29.25" customHeight="1" thickBot="1">
      <c r="A6" s="355" t="s">
        <v>186</v>
      </c>
      <c r="B6" s="366"/>
      <c r="C6" s="367">
        <f>'بودجه سود و زیان'!F11</f>
        <v>1067790789.0000005</v>
      </c>
      <c r="D6" s="368"/>
    </row>
    <row r="7" spans="1:4" ht="48" customHeight="1" thickBot="1">
      <c r="A7" s="356" t="s">
        <v>204</v>
      </c>
      <c r="B7" s="366"/>
      <c r="C7" s="366"/>
      <c r="D7" s="368"/>
    </row>
    <row r="8" spans="1:4" ht="28.2" thickBot="1">
      <c r="A8" s="355" t="s">
        <v>187</v>
      </c>
      <c r="B8" s="367">
        <f>'بودجه هزینه های اداری و فروش'!F9+'بودجه سربار ساخت'!F10</f>
        <v>15750000</v>
      </c>
      <c r="C8" s="366"/>
      <c r="D8" s="368"/>
    </row>
    <row r="9" spans="1:4" ht="28.2" thickBot="1">
      <c r="A9" s="357" t="s">
        <v>188</v>
      </c>
      <c r="B9" s="369">
        <f>'ترازنامه بودجه شده'!F11-'ترازنامه بودجه شده'!C11</f>
        <v>-540000000</v>
      </c>
      <c r="C9" s="369"/>
      <c r="D9" s="368"/>
    </row>
    <row r="10" spans="1:4" ht="28.2" thickBot="1">
      <c r="A10" s="357" t="s">
        <v>189</v>
      </c>
      <c r="B10" s="369">
        <f>'ترازنامه بودجه شده'!F10-'ترازنامه بودجه شده'!C10</f>
        <v>-45471052</v>
      </c>
      <c r="C10" s="369"/>
      <c r="D10" s="368"/>
    </row>
    <row r="11" spans="1:4" ht="28.2" thickBot="1">
      <c r="A11" s="357" t="s">
        <v>190</v>
      </c>
      <c r="B11" s="369">
        <f>'ترازنامه بودجه شده'!C29</f>
        <v>355930263.00000012</v>
      </c>
      <c r="C11" s="369"/>
      <c r="D11" s="368"/>
    </row>
    <row r="12" spans="1:4" ht="28.2" thickBot="1">
      <c r="A12" s="357" t="s">
        <v>191</v>
      </c>
      <c r="B12" s="369"/>
      <c r="C12" s="369">
        <f>B11+B10+B9+B8</f>
        <v>-213790788.99999988</v>
      </c>
      <c r="D12" s="368"/>
    </row>
    <row r="13" spans="1:4" ht="28.2" thickBot="1">
      <c r="A13" s="357" t="s">
        <v>192</v>
      </c>
      <c r="B13" s="366"/>
      <c r="C13" s="366"/>
      <c r="D13" s="370">
        <f>C12+C6</f>
        <v>854000000.0000006</v>
      </c>
    </row>
    <row r="14" spans="1:4" ht="32.25" customHeight="1" thickBot="1">
      <c r="A14" s="362" t="s">
        <v>193</v>
      </c>
      <c r="B14" s="371"/>
      <c r="C14" s="371"/>
      <c r="D14" s="372"/>
    </row>
    <row r="15" spans="1:4" ht="28.2" thickBot="1">
      <c r="A15" s="357" t="s">
        <v>194</v>
      </c>
      <c r="B15" s="366"/>
      <c r="C15" s="366"/>
      <c r="D15" s="370">
        <f>'بودجه مخارج سرمایه ای'!F7</f>
        <v>160700000</v>
      </c>
    </row>
    <row r="16" spans="1:4" ht="28.2" thickBot="1">
      <c r="A16" s="361" t="s">
        <v>195</v>
      </c>
      <c r="B16" s="373"/>
      <c r="C16" s="373"/>
      <c r="D16" s="374"/>
    </row>
    <row r="17" spans="1:4" ht="28.2" thickBot="1">
      <c r="A17" s="357" t="s">
        <v>196</v>
      </c>
      <c r="B17" s="366"/>
      <c r="C17" s="366">
        <v>0</v>
      </c>
      <c r="D17" s="368"/>
    </row>
    <row r="18" spans="1:4" ht="28.2" thickBot="1">
      <c r="A18" s="357" t="s">
        <v>197</v>
      </c>
      <c r="B18" s="366"/>
      <c r="C18" s="366">
        <v>0</v>
      </c>
      <c r="D18" s="368"/>
    </row>
    <row r="19" spans="1:4" ht="28.2" thickBot="1">
      <c r="A19" s="357" t="s">
        <v>198</v>
      </c>
      <c r="B19" s="366"/>
      <c r="C19" s="366"/>
      <c r="D19" s="368">
        <v>0</v>
      </c>
    </row>
    <row r="20" spans="1:4" ht="37.200000000000003" thickBot="1">
      <c r="A20" s="358" t="s">
        <v>199</v>
      </c>
      <c r="B20" s="375"/>
      <c r="C20" s="376"/>
      <c r="D20" s="377">
        <f>D13-D15</f>
        <v>693300000.0000006</v>
      </c>
    </row>
    <row r="21" spans="1:4" ht="28.2" thickBot="1">
      <c r="A21" s="359" t="s">
        <v>200</v>
      </c>
      <c r="B21" s="378"/>
      <c r="C21" s="378"/>
      <c r="D21" s="379">
        <f>'ترازنامه بودجه شده'!F12</f>
        <v>340000000</v>
      </c>
    </row>
    <row r="22" spans="1:4" ht="28.2" thickBot="1">
      <c r="A22" s="360" t="s">
        <v>201</v>
      </c>
      <c r="B22" s="380"/>
      <c r="C22" s="380"/>
      <c r="D22" s="381">
        <f>D20+D21</f>
        <v>1033300000.0000006</v>
      </c>
    </row>
    <row r="23" spans="1:4" ht="28.2" thickTop="1">
      <c r="B23" s="267"/>
      <c r="C23" s="267"/>
      <c r="D23" s="268"/>
    </row>
    <row r="24" spans="1:4">
      <c r="B24" s="267"/>
      <c r="C24" s="267"/>
      <c r="D24" s="267"/>
    </row>
    <row r="25" spans="1:4">
      <c r="B25" s="267"/>
      <c r="C25" s="267"/>
      <c r="D25" s="267"/>
    </row>
    <row r="26" spans="1:4">
      <c r="B26" s="267"/>
      <c r="C26" s="267"/>
      <c r="D26" s="267"/>
    </row>
    <row r="27" spans="1:4">
      <c r="B27" s="267"/>
      <c r="C27" s="267"/>
      <c r="D27" s="267"/>
    </row>
    <row r="28" spans="1:4">
      <c r="B28" s="266"/>
      <c r="C28" s="266"/>
      <c r="D28" s="266"/>
    </row>
    <row r="29" spans="1:4">
      <c r="B29" s="266"/>
      <c r="C29" s="266"/>
      <c r="D29" s="266"/>
    </row>
  </sheetData>
  <mergeCells count="3">
    <mergeCell ref="A1:D1"/>
    <mergeCell ref="A2:D2"/>
    <mergeCell ref="A3:D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25:A52"/>
  <sheetViews>
    <sheetView rightToLeft="1" zoomScale="112" zoomScaleNormal="112" workbookViewId="0"/>
  </sheetViews>
  <sheetFormatPr defaultRowHeight="13.2"/>
  <cols>
    <col min="1" max="1" width="13.5546875" style="1" customWidth="1"/>
    <col min="2" max="9" width="9.109375" style="1"/>
    <col min="10" max="10" width="15" style="1" customWidth="1"/>
    <col min="11" max="260" width="9.109375" style="1"/>
    <col min="261" max="261" width="15" style="1" customWidth="1"/>
    <col min="262" max="516" width="9.109375" style="1"/>
    <col min="517" max="517" width="15" style="1" customWidth="1"/>
    <col min="518" max="772" width="9.109375" style="1"/>
    <col min="773" max="773" width="15" style="1" customWidth="1"/>
    <col min="774" max="1028" width="9.109375" style="1"/>
    <col min="1029" max="1029" width="15" style="1" customWidth="1"/>
    <col min="1030" max="1284" width="9.109375" style="1"/>
    <col min="1285" max="1285" width="15" style="1" customWidth="1"/>
    <col min="1286" max="1540" width="9.109375" style="1"/>
    <col min="1541" max="1541" width="15" style="1" customWidth="1"/>
    <col min="1542" max="1796" width="9.109375" style="1"/>
    <col min="1797" max="1797" width="15" style="1" customWidth="1"/>
    <col min="1798" max="2052" width="9.109375" style="1"/>
    <col min="2053" max="2053" width="15" style="1" customWidth="1"/>
    <col min="2054" max="2308" width="9.109375" style="1"/>
    <col min="2309" max="2309" width="15" style="1" customWidth="1"/>
    <col min="2310" max="2564" width="9.109375" style="1"/>
    <col min="2565" max="2565" width="15" style="1" customWidth="1"/>
    <col min="2566" max="2820" width="9.109375" style="1"/>
    <col min="2821" max="2821" width="15" style="1" customWidth="1"/>
    <col min="2822" max="3076" width="9.109375" style="1"/>
    <col min="3077" max="3077" width="15" style="1" customWidth="1"/>
    <col min="3078" max="3332" width="9.109375" style="1"/>
    <col min="3333" max="3333" width="15" style="1" customWidth="1"/>
    <col min="3334" max="3588" width="9.109375" style="1"/>
    <col min="3589" max="3589" width="15" style="1" customWidth="1"/>
    <col min="3590" max="3844" width="9.109375" style="1"/>
    <col min="3845" max="3845" width="15" style="1" customWidth="1"/>
    <col min="3846" max="4100" width="9.109375" style="1"/>
    <col min="4101" max="4101" width="15" style="1" customWidth="1"/>
    <col min="4102" max="4356" width="9.109375" style="1"/>
    <col min="4357" max="4357" width="15" style="1" customWidth="1"/>
    <col min="4358" max="4612" width="9.109375" style="1"/>
    <col min="4613" max="4613" width="15" style="1" customWidth="1"/>
    <col min="4614" max="4868" width="9.109375" style="1"/>
    <col min="4869" max="4869" width="15" style="1" customWidth="1"/>
    <col min="4870" max="5124" width="9.109375" style="1"/>
    <col min="5125" max="5125" width="15" style="1" customWidth="1"/>
    <col min="5126" max="5380" width="9.109375" style="1"/>
    <col min="5381" max="5381" width="15" style="1" customWidth="1"/>
    <col min="5382" max="5636" width="9.109375" style="1"/>
    <col min="5637" max="5637" width="15" style="1" customWidth="1"/>
    <col min="5638" max="5892" width="9.109375" style="1"/>
    <col min="5893" max="5893" width="15" style="1" customWidth="1"/>
    <col min="5894" max="6148" width="9.109375" style="1"/>
    <col min="6149" max="6149" width="15" style="1" customWidth="1"/>
    <col min="6150" max="6404" width="9.109375" style="1"/>
    <col min="6405" max="6405" width="15" style="1" customWidth="1"/>
    <col min="6406" max="6660" width="9.109375" style="1"/>
    <col min="6661" max="6661" width="15" style="1" customWidth="1"/>
    <col min="6662" max="6916" width="9.109375" style="1"/>
    <col min="6917" max="6917" width="15" style="1" customWidth="1"/>
    <col min="6918" max="7172" width="9.109375" style="1"/>
    <col min="7173" max="7173" width="15" style="1" customWidth="1"/>
    <col min="7174" max="7428" width="9.109375" style="1"/>
    <col min="7429" max="7429" width="15" style="1" customWidth="1"/>
    <col min="7430" max="7684" width="9.109375" style="1"/>
    <col min="7685" max="7685" width="15" style="1" customWidth="1"/>
    <col min="7686" max="7940" width="9.109375" style="1"/>
    <col min="7941" max="7941" width="15" style="1" customWidth="1"/>
    <col min="7942" max="8196" width="9.109375" style="1"/>
    <col min="8197" max="8197" width="15" style="1" customWidth="1"/>
    <col min="8198" max="8452" width="9.109375" style="1"/>
    <col min="8453" max="8453" width="15" style="1" customWidth="1"/>
    <col min="8454" max="8708" width="9.109375" style="1"/>
    <col min="8709" max="8709" width="15" style="1" customWidth="1"/>
    <col min="8710" max="8964" width="9.109375" style="1"/>
    <col min="8965" max="8965" width="15" style="1" customWidth="1"/>
    <col min="8966" max="9220" width="9.109375" style="1"/>
    <col min="9221" max="9221" width="15" style="1" customWidth="1"/>
    <col min="9222" max="9476" width="9.109375" style="1"/>
    <col min="9477" max="9477" width="15" style="1" customWidth="1"/>
    <col min="9478" max="9732" width="9.109375" style="1"/>
    <col min="9733" max="9733" width="15" style="1" customWidth="1"/>
    <col min="9734" max="9988" width="9.109375" style="1"/>
    <col min="9989" max="9989" width="15" style="1" customWidth="1"/>
    <col min="9990" max="10244" width="9.109375" style="1"/>
    <col min="10245" max="10245" width="15" style="1" customWidth="1"/>
    <col min="10246" max="10500" width="9.109375" style="1"/>
    <col min="10501" max="10501" width="15" style="1" customWidth="1"/>
    <col min="10502" max="10756" width="9.109375" style="1"/>
    <col min="10757" max="10757" width="15" style="1" customWidth="1"/>
    <col min="10758" max="11012" width="9.109375" style="1"/>
    <col min="11013" max="11013" width="15" style="1" customWidth="1"/>
    <col min="11014" max="11268" width="9.109375" style="1"/>
    <col min="11269" max="11269" width="15" style="1" customWidth="1"/>
    <col min="11270" max="11524" width="9.109375" style="1"/>
    <col min="11525" max="11525" width="15" style="1" customWidth="1"/>
    <col min="11526" max="11780" width="9.109375" style="1"/>
    <col min="11781" max="11781" width="15" style="1" customWidth="1"/>
    <col min="11782" max="12036" width="9.109375" style="1"/>
    <col min="12037" max="12037" width="15" style="1" customWidth="1"/>
    <col min="12038" max="12292" width="9.109375" style="1"/>
    <col min="12293" max="12293" width="15" style="1" customWidth="1"/>
    <col min="12294" max="12548" width="9.109375" style="1"/>
    <col min="12549" max="12549" width="15" style="1" customWidth="1"/>
    <col min="12550" max="12804" width="9.109375" style="1"/>
    <col min="12805" max="12805" width="15" style="1" customWidth="1"/>
    <col min="12806" max="13060" width="9.109375" style="1"/>
    <col min="13061" max="13061" width="15" style="1" customWidth="1"/>
    <col min="13062" max="13316" width="9.109375" style="1"/>
    <col min="13317" max="13317" width="15" style="1" customWidth="1"/>
    <col min="13318" max="13572" width="9.109375" style="1"/>
    <col min="13573" max="13573" width="15" style="1" customWidth="1"/>
    <col min="13574" max="13828" width="9.109375" style="1"/>
    <col min="13829" max="13829" width="15" style="1" customWidth="1"/>
    <col min="13830" max="14084" width="9.109375" style="1"/>
    <col min="14085" max="14085" width="15" style="1" customWidth="1"/>
    <col min="14086" max="14340" width="9.109375" style="1"/>
    <col min="14341" max="14341" width="15" style="1" customWidth="1"/>
    <col min="14342" max="14596" width="9.109375" style="1"/>
    <col min="14597" max="14597" width="15" style="1" customWidth="1"/>
    <col min="14598" max="14852" width="9.109375" style="1"/>
    <col min="14853" max="14853" width="15" style="1" customWidth="1"/>
    <col min="14854" max="15108" width="9.109375" style="1"/>
    <col min="15109" max="15109" width="15" style="1" customWidth="1"/>
    <col min="15110" max="15364" width="9.109375" style="1"/>
    <col min="15365" max="15365" width="15" style="1" customWidth="1"/>
    <col min="15366" max="15620" width="9.109375" style="1"/>
    <col min="15621" max="15621" width="15" style="1" customWidth="1"/>
    <col min="15622" max="15876" width="9.109375" style="1"/>
    <col min="15877" max="15877" width="15" style="1" customWidth="1"/>
    <col min="15878" max="16132" width="9.109375" style="1"/>
    <col min="16133" max="16133" width="15" style="1" customWidth="1"/>
    <col min="16134" max="16384" width="9.109375" style="1"/>
  </cols>
  <sheetData>
    <row r="25" spans="1:1" ht="21.6">
      <c r="A25" s="272" t="s">
        <v>55</v>
      </c>
    </row>
    <row r="45" spans="1:1" ht="21.6">
      <c r="A45" s="272" t="s">
        <v>56</v>
      </c>
    </row>
    <row r="52" ht="23.25" customHeight="1"/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rightToLeft="1" workbookViewId="0">
      <selection sqref="A1:M1"/>
    </sheetView>
  </sheetViews>
  <sheetFormatPr defaultColWidth="9.109375" defaultRowHeight="21.6"/>
  <cols>
    <col min="1" max="1" width="21.109375" style="40" customWidth="1"/>
    <col min="2" max="2" width="9" style="40" bestFit="1" customWidth="1"/>
    <col min="3" max="3" width="14.109375" style="40" bestFit="1" customWidth="1"/>
    <col min="4" max="4" width="21" style="40" bestFit="1" customWidth="1"/>
    <col min="5" max="5" width="8" style="40" customWidth="1"/>
    <col min="6" max="6" width="17.6640625" style="40" bestFit="1" customWidth="1"/>
    <col min="7" max="7" width="21" style="40" bestFit="1" customWidth="1"/>
    <col min="8" max="8" width="8" style="40" customWidth="1"/>
    <col min="9" max="9" width="13.88671875" style="40" bestFit="1" customWidth="1"/>
    <col min="10" max="10" width="19.44140625" style="40" bestFit="1" customWidth="1"/>
    <col min="11" max="11" width="8" style="40" customWidth="1"/>
    <col min="12" max="12" width="13.88671875" style="40" bestFit="1" customWidth="1"/>
    <col min="13" max="13" width="20.88671875" style="40" bestFit="1" customWidth="1"/>
    <col min="14" max="16384" width="9.109375" style="40"/>
  </cols>
  <sheetData>
    <row r="1" spans="1:13" s="39" customFormat="1" ht="30.75" customHeight="1" thickTop="1">
      <c r="A1" s="385" t="s">
        <v>16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7"/>
    </row>
    <row r="2" spans="1:13" s="39" customFormat="1" ht="30.75" customHeight="1">
      <c r="A2" s="388" t="s">
        <v>1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90"/>
    </row>
    <row r="3" spans="1:13" s="39" customFormat="1" ht="30.75" customHeight="1" thickBot="1">
      <c r="A3" s="391" t="s">
        <v>229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3"/>
    </row>
    <row r="4" spans="1:13" s="259" customFormat="1" ht="45.75" customHeight="1" thickTop="1" thickBot="1">
      <c r="A4" s="258"/>
      <c r="B4" s="394" t="s">
        <v>41</v>
      </c>
      <c r="C4" s="394"/>
      <c r="D4" s="394"/>
      <c r="E4" s="394" t="s">
        <v>42</v>
      </c>
      <c r="F4" s="394"/>
      <c r="G4" s="394"/>
      <c r="H4" s="394" t="s">
        <v>43</v>
      </c>
      <c r="I4" s="394"/>
      <c r="J4" s="394"/>
      <c r="K4" s="395" t="s">
        <v>44</v>
      </c>
      <c r="L4" s="396"/>
      <c r="M4" s="397"/>
    </row>
    <row r="5" spans="1:13" s="3" customFormat="1" ht="45.75" customHeight="1" thickTop="1" thickBot="1">
      <c r="A5" s="307" t="s">
        <v>21</v>
      </c>
      <c r="B5" s="308" t="s">
        <v>17</v>
      </c>
      <c r="C5" s="309" t="s">
        <v>18</v>
      </c>
      <c r="D5" s="309" t="s">
        <v>19</v>
      </c>
      <c r="E5" s="309" t="s">
        <v>17</v>
      </c>
      <c r="F5" s="309" t="s">
        <v>18</v>
      </c>
      <c r="G5" s="309" t="s">
        <v>19</v>
      </c>
      <c r="H5" s="309" t="s">
        <v>17</v>
      </c>
      <c r="I5" s="309" t="s">
        <v>18</v>
      </c>
      <c r="J5" s="309" t="s">
        <v>19</v>
      </c>
      <c r="K5" s="309" t="s">
        <v>17</v>
      </c>
      <c r="L5" s="309" t="s">
        <v>18</v>
      </c>
      <c r="M5" s="310" t="s">
        <v>19</v>
      </c>
    </row>
    <row r="6" spans="1:13" s="3" customFormat="1" ht="45.75" customHeight="1" thickTop="1" thickBot="1">
      <c r="A6" s="9" t="s">
        <v>76</v>
      </c>
      <c r="B6" s="321">
        <v>2000</v>
      </c>
      <c r="C6" s="321">
        <f>IF(B6=0,"",D6/B6)</f>
        <v>1000000</v>
      </c>
      <c r="D6" s="321">
        <v>2000000000</v>
      </c>
      <c r="E6" s="321">
        <v>2100</v>
      </c>
      <c r="F6" s="321">
        <f>IF(E6=0,"",G6/E6)</f>
        <v>1100000</v>
      </c>
      <c r="G6" s="321">
        <f>E6*1100000</f>
        <v>2310000000</v>
      </c>
      <c r="H6" s="321">
        <v>1600</v>
      </c>
      <c r="I6" s="321">
        <f>IF(H6=0,"",J6/H6)</f>
        <v>1200000</v>
      </c>
      <c r="J6" s="321">
        <f>H6*1200000</f>
        <v>1920000000</v>
      </c>
      <c r="K6" s="321">
        <v>2500</v>
      </c>
      <c r="L6" s="321">
        <f>IF(K6=0,"",M6/K6)</f>
        <v>1300000</v>
      </c>
      <c r="M6" s="322">
        <f>K6*1300000</f>
        <v>3250000000</v>
      </c>
    </row>
    <row r="7" spans="1:13" s="3" customFormat="1" ht="45.75" customHeight="1" thickBot="1">
      <c r="A7" s="10" t="s">
        <v>77</v>
      </c>
      <c r="B7" s="323">
        <v>2200</v>
      </c>
      <c r="C7" s="323">
        <f t="shared" ref="C7:C9" si="0">IF(B7=0,"",D7/B7)</f>
        <v>1500000</v>
      </c>
      <c r="D7" s="323">
        <v>3300000000</v>
      </c>
      <c r="E7" s="323">
        <v>2200</v>
      </c>
      <c r="F7" s="323">
        <f t="shared" ref="F7:F9" si="1">IF(E7=0,"",G7/E7)</f>
        <v>1600000</v>
      </c>
      <c r="G7" s="323">
        <f>E7*1600000</f>
        <v>3520000000</v>
      </c>
      <c r="H7" s="323">
        <v>1900</v>
      </c>
      <c r="I7" s="323">
        <f t="shared" ref="I7:I9" si="2">IF(H7=0,"",J7/H7)</f>
        <v>1700000</v>
      </c>
      <c r="J7" s="323">
        <f>H7*1700000</f>
        <v>3230000000</v>
      </c>
      <c r="K7" s="323">
        <v>2600</v>
      </c>
      <c r="L7" s="323">
        <f t="shared" ref="L7:L9" si="3">IF(K7=0,"",M7/K7)</f>
        <v>1800000</v>
      </c>
      <c r="M7" s="324">
        <f>K7*1800000</f>
        <v>4680000000</v>
      </c>
    </row>
    <row r="8" spans="1:13" s="3" customFormat="1" ht="45.75" customHeight="1" thickBot="1">
      <c r="A8" s="11" t="s">
        <v>78</v>
      </c>
      <c r="B8" s="325">
        <v>1800</v>
      </c>
      <c r="C8" s="325">
        <f t="shared" si="0"/>
        <v>1300000</v>
      </c>
      <c r="D8" s="325">
        <v>2340000000</v>
      </c>
      <c r="E8" s="325">
        <v>1900</v>
      </c>
      <c r="F8" s="325">
        <f t="shared" si="1"/>
        <v>1400000</v>
      </c>
      <c r="G8" s="325">
        <f>E8*1400000</f>
        <v>2660000000</v>
      </c>
      <c r="H8" s="325">
        <v>1400</v>
      </c>
      <c r="I8" s="325">
        <f t="shared" si="2"/>
        <v>1500000</v>
      </c>
      <c r="J8" s="325">
        <f>H8*1500000</f>
        <v>2100000000</v>
      </c>
      <c r="K8" s="325">
        <v>2200</v>
      </c>
      <c r="L8" s="325">
        <f t="shared" si="3"/>
        <v>1600000</v>
      </c>
      <c r="M8" s="326">
        <f>K8*1600000</f>
        <v>3520000000</v>
      </c>
    </row>
    <row r="9" spans="1:13" s="3" customFormat="1" ht="45.75" customHeight="1" thickBot="1">
      <c r="A9" s="12" t="s">
        <v>79</v>
      </c>
      <c r="B9" s="327">
        <v>1500</v>
      </c>
      <c r="C9" s="327">
        <f t="shared" si="0"/>
        <v>1700000</v>
      </c>
      <c r="D9" s="327">
        <v>2550000000</v>
      </c>
      <c r="E9" s="327">
        <v>1500</v>
      </c>
      <c r="F9" s="327">
        <f t="shared" si="1"/>
        <v>1800000</v>
      </c>
      <c r="G9" s="327">
        <f>E9*1800000</f>
        <v>2700000000</v>
      </c>
      <c r="H9" s="327">
        <v>1300</v>
      </c>
      <c r="I9" s="327">
        <f t="shared" si="2"/>
        <v>1900000</v>
      </c>
      <c r="J9" s="327">
        <f>H9*1900000</f>
        <v>2470000000</v>
      </c>
      <c r="K9" s="327">
        <v>1600</v>
      </c>
      <c r="L9" s="327">
        <f t="shared" si="3"/>
        <v>2000000</v>
      </c>
      <c r="M9" s="328">
        <f>K9*2000000</f>
        <v>3200000000</v>
      </c>
    </row>
    <row r="10" spans="1:13" s="3" customFormat="1" ht="45.75" customHeight="1" thickTop="1" thickBot="1">
      <c r="A10" s="13" t="s">
        <v>8</v>
      </c>
      <c r="B10" s="329">
        <f>SUM(B6:B9)</f>
        <v>7500</v>
      </c>
      <c r="C10" s="329"/>
      <c r="D10" s="329">
        <f>SUM(D6:D9)</f>
        <v>10190000000</v>
      </c>
      <c r="E10" s="329">
        <f t="shared" ref="E10:M10" si="4">SUM(E6:E9)</f>
        <v>7700</v>
      </c>
      <c r="F10" s="329">
        <f t="shared" si="4"/>
        <v>5900000</v>
      </c>
      <c r="G10" s="329">
        <f t="shared" si="4"/>
        <v>11190000000</v>
      </c>
      <c r="H10" s="329">
        <f t="shared" si="4"/>
        <v>6200</v>
      </c>
      <c r="I10" s="329">
        <f t="shared" si="4"/>
        <v>6300000</v>
      </c>
      <c r="J10" s="329">
        <f t="shared" si="4"/>
        <v>9720000000</v>
      </c>
      <c r="K10" s="329">
        <f t="shared" si="4"/>
        <v>8900</v>
      </c>
      <c r="L10" s="329">
        <f t="shared" si="4"/>
        <v>6700000</v>
      </c>
      <c r="M10" s="330">
        <f t="shared" si="4"/>
        <v>14650000000</v>
      </c>
    </row>
    <row r="11" spans="1:13" ht="22.2" thickTop="1"/>
  </sheetData>
  <mergeCells count="7">
    <mergeCell ref="A1:M1"/>
    <mergeCell ref="A2:M2"/>
    <mergeCell ref="A3:M3"/>
    <mergeCell ref="B4:D4"/>
    <mergeCell ref="E4:G4"/>
    <mergeCell ref="H4:J4"/>
    <mergeCell ref="K4:M4"/>
  </mergeCells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1"/>
  <sheetViews>
    <sheetView rightToLeft="1" workbookViewId="0">
      <selection sqref="A1:P1"/>
    </sheetView>
  </sheetViews>
  <sheetFormatPr defaultColWidth="9.109375" defaultRowHeight="21.6"/>
  <cols>
    <col min="1" max="1" width="18.44140625" style="2" customWidth="1"/>
    <col min="2" max="2" width="9" style="2" bestFit="1" customWidth="1"/>
    <col min="3" max="3" width="13.88671875" style="2" bestFit="1" customWidth="1"/>
    <col min="4" max="4" width="19.33203125" style="2" bestFit="1" customWidth="1"/>
    <col min="5" max="5" width="8" style="2" customWidth="1"/>
    <col min="6" max="6" width="13.88671875" style="2" bestFit="1" customWidth="1"/>
    <col min="7" max="7" width="19.44140625" style="2" bestFit="1" customWidth="1"/>
    <col min="8" max="8" width="8" style="2" customWidth="1"/>
    <col min="9" max="9" width="13.88671875" style="2" bestFit="1" customWidth="1"/>
    <col min="10" max="10" width="19.44140625" style="2" bestFit="1" customWidth="1"/>
    <col min="11" max="11" width="8" style="2" customWidth="1"/>
    <col min="12" max="12" width="13.88671875" style="2" bestFit="1" customWidth="1"/>
    <col min="13" max="13" width="21.44140625" style="2" bestFit="1" customWidth="1"/>
    <col min="14" max="14" width="8" style="2" customWidth="1"/>
    <col min="15" max="15" width="13.88671875" style="2" bestFit="1" customWidth="1"/>
    <col min="16" max="16" width="20.88671875" style="2" bestFit="1" customWidth="1"/>
    <col min="17" max="17" width="12.88671875" style="2" bestFit="1" customWidth="1"/>
    <col min="18" max="18" width="15.5546875" style="2" bestFit="1" customWidth="1"/>
    <col min="19" max="16384" width="9.109375" style="2"/>
  </cols>
  <sheetData>
    <row r="1" spans="1:16" s="6" customFormat="1" ht="30.75" customHeight="1" thickTop="1">
      <c r="A1" s="402" t="s">
        <v>16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4"/>
    </row>
    <row r="2" spans="1:16" s="6" customFormat="1" ht="30.75" customHeight="1">
      <c r="A2" s="405" t="s">
        <v>47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7"/>
    </row>
    <row r="3" spans="1:16" s="6" customFormat="1" ht="30.75" customHeight="1" thickBot="1">
      <c r="A3" s="408" t="s">
        <v>226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10"/>
    </row>
    <row r="4" spans="1:16" s="3" customFormat="1" ht="45.75" customHeight="1" thickTop="1" thickBot="1">
      <c r="A4" s="8"/>
      <c r="B4" s="398" t="s">
        <v>2</v>
      </c>
      <c r="C4" s="398"/>
      <c r="D4" s="398"/>
      <c r="E4" s="398" t="s">
        <v>20</v>
      </c>
      <c r="F4" s="398"/>
      <c r="G4" s="398"/>
      <c r="H4" s="398" t="s">
        <v>3</v>
      </c>
      <c r="I4" s="398"/>
      <c r="J4" s="398"/>
      <c r="K4" s="399" t="s">
        <v>4</v>
      </c>
      <c r="L4" s="400"/>
      <c r="M4" s="401"/>
      <c r="N4" s="399" t="s">
        <v>22</v>
      </c>
      <c r="O4" s="400"/>
      <c r="P4" s="401"/>
    </row>
    <row r="5" spans="1:16" s="3" customFormat="1" ht="45.75" customHeight="1" thickTop="1" thickBot="1">
      <c r="A5" s="311" t="s">
        <v>21</v>
      </c>
      <c r="B5" s="312" t="s">
        <v>17</v>
      </c>
      <c r="C5" s="313" t="s">
        <v>18</v>
      </c>
      <c r="D5" s="313" t="s">
        <v>19</v>
      </c>
      <c r="E5" s="313" t="s">
        <v>17</v>
      </c>
      <c r="F5" s="313" t="s">
        <v>18</v>
      </c>
      <c r="G5" s="313" t="s">
        <v>19</v>
      </c>
      <c r="H5" s="313" t="s">
        <v>17</v>
      </c>
      <c r="I5" s="313" t="s">
        <v>18</v>
      </c>
      <c r="J5" s="313" t="s">
        <v>19</v>
      </c>
      <c r="K5" s="313" t="s">
        <v>17</v>
      </c>
      <c r="L5" s="313" t="s">
        <v>18</v>
      </c>
      <c r="M5" s="314" t="s">
        <v>19</v>
      </c>
      <c r="N5" s="313" t="s">
        <v>17</v>
      </c>
      <c r="O5" s="313" t="s">
        <v>18</v>
      </c>
      <c r="P5" s="314" t="s">
        <v>19</v>
      </c>
    </row>
    <row r="6" spans="1:16" s="3" customFormat="1" ht="45.75" customHeight="1" thickTop="1" thickBot="1">
      <c r="A6" s="9" t="s">
        <v>76</v>
      </c>
      <c r="B6" s="321">
        <v>500</v>
      </c>
      <c r="C6" s="321">
        <f>D6/B6</f>
        <v>1300000</v>
      </c>
      <c r="D6" s="321">
        <f>B6*1300000</f>
        <v>650000000</v>
      </c>
      <c r="E6" s="321">
        <v>650</v>
      </c>
      <c r="F6" s="321">
        <f>G6/E6</f>
        <v>1300000</v>
      </c>
      <c r="G6" s="321">
        <v>845000000</v>
      </c>
      <c r="H6" s="321">
        <v>650</v>
      </c>
      <c r="I6" s="321">
        <v>1300000</v>
      </c>
      <c r="J6" s="321">
        <v>845000000</v>
      </c>
      <c r="K6" s="321">
        <v>700</v>
      </c>
      <c r="L6" s="321">
        <v>1300000</v>
      </c>
      <c r="M6" s="322">
        <v>910000000</v>
      </c>
      <c r="N6" s="321">
        <f>K6+H6+E6+B6</f>
        <v>2500</v>
      </c>
      <c r="O6" s="321">
        <f>P6/N6</f>
        <v>1300000</v>
      </c>
      <c r="P6" s="322">
        <f>M6+J6+G6+D6</f>
        <v>3250000000</v>
      </c>
    </row>
    <row r="7" spans="1:16" s="3" customFormat="1" ht="45.75" customHeight="1" thickBot="1">
      <c r="A7" s="10" t="s">
        <v>77</v>
      </c>
      <c r="B7" s="323">
        <v>550</v>
      </c>
      <c r="C7" s="323">
        <f>D7/B7</f>
        <v>1800000</v>
      </c>
      <c r="D7" s="323">
        <f>B7*1800000</f>
        <v>990000000</v>
      </c>
      <c r="E7" s="323">
        <v>650</v>
      </c>
      <c r="F7" s="323">
        <f t="shared" ref="F7:F9" si="0">G7/E7</f>
        <v>1800000</v>
      </c>
      <c r="G7" s="323">
        <v>1170000000</v>
      </c>
      <c r="H7" s="323">
        <v>650</v>
      </c>
      <c r="I7" s="323">
        <v>1800000</v>
      </c>
      <c r="J7" s="323">
        <v>1170000000</v>
      </c>
      <c r="K7" s="323">
        <v>750</v>
      </c>
      <c r="L7" s="323">
        <v>1800000</v>
      </c>
      <c r="M7" s="324">
        <v>1350000000</v>
      </c>
      <c r="N7" s="323">
        <f>K7+H7+E7+B7</f>
        <v>2600</v>
      </c>
      <c r="O7" s="323">
        <f t="shared" ref="O7:O9" si="1">P7/N7</f>
        <v>1800000</v>
      </c>
      <c r="P7" s="324">
        <f t="shared" ref="P7:P9" si="2">M7+J7+G7+D7</f>
        <v>4680000000</v>
      </c>
    </row>
    <row r="8" spans="1:16" s="3" customFormat="1" ht="45.75" customHeight="1" thickBot="1">
      <c r="A8" s="11" t="s">
        <v>78</v>
      </c>
      <c r="B8" s="325">
        <v>450</v>
      </c>
      <c r="C8" s="325">
        <f>D8/B8</f>
        <v>1600000</v>
      </c>
      <c r="D8" s="325">
        <f>B8*1600000</f>
        <v>720000000</v>
      </c>
      <c r="E8" s="325">
        <v>550</v>
      </c>
      <c r="F8" s="325">
        <f t="shared" si="0"/>
        <v>1600000</v>
      </c>
      <c r="G8" s="325">
        <v>880000000</v>
      </c>
      <c r="H8" s="325">
        <v>550</v>
      </c>
      <c r="I8" s="325">
        <v>1600000</v>
      </c>
      <c r="J8" s="325">
        <v>880000000</v>
      </c>
      <c r="K8" s="325">
        <v>650</v>
      </c>
      <c r="L8" s="325">
        <v>1600000</v>
      </c>
      <c r="M8" s="326">
        <v>1040000000</v>
      </c>
      <c r="N8" s="325">
        <f t="shared" ref="N8:N9" si="3">K8+H8+E8+B8</f>
        <v>2200</v>
      </c>
      <c r="O8" s="325">
        <f t="shared" si="1"/>
        <v>1600000</v>
      </c>
      <c r="P8" s="326">
        <f t="shared" si="2"/>
        <v>3520000000</v>
      </c>
    </row>
    <row r="9" spans="1:16" s="3" customFormat="1" ht="45.75" customHeight="1" thickBot="1">
      <c r="A9" s="12" t="s">
        <v>79</v>
      </c>
      <c r="B9" s="327">
        <v>300</v>
      </c>
      <c r="C9" s="327">
        <f>D9/B9</f>
        <v>2000000</v>
      </c>
      <c r="D9" s="327">
        <f>B9*2000000</f>
        <v>600000000</v>
      </c>
      <c r="E9" s="327">
        <v>400</v>
      </c>
      <c r="F9" s="327">
        <f t="shared" si="0"/>
        <v>2000000</v>
      </c>
      <c r="G9" s="327">
        <v>800000000</v>
      </c>
      <c r="H9" s="327">
        <v>400</v>
      </c>
      <c r="I9" s="327">
        <v>2000000</v>
      </c>
      <c r="J9" s="327">
        <v>800000000</v>
      </c>
      <c r="K9" s="327">
        <v>500</v>
      </c>
      <c r="L9" s="327">
        <v>2000000</v>
      </c>
      <c r="M9" s="328">
        <v>1000000000</v>
      </c>
      <c r="N9" s="327">
        <f t="shared" si="3"/>
        <v>1600</v>
      </c>
      <c r="O9" s="327">
        <f t="shared" si="1"/>
        <v>2000000</v>
      </c>
      <c r="P9" s="328">
        <f t="shared" si="2"/>
        <v>3200000000</v>
      </c>
    </row>
    <row r="10" spans="1:16" s="3" customFormat="1" ht="45.75" customHeight="1" thickTop="1" thickBot="1">
      <c r="A10" s="13" t="s">
        <v>8</v>
      </c>
      <c r="B10" s="329">
        <f>SUM(B6:B9)</f>
        <v>1800</v>
      </c>
      <c r="C10" s="329">
        <f>D10/B10</f>
        <v>1644444.4444444445</v>
      </c>
      <c r="D10" s="329">
        <f>SUM(D6:D9)</f>
        <v>2960000000</v>
      </c>
      <c r="E10" s="329">
        <f>SUM(E6:E9)</f>
        <v>2250</v>
      </c>
      <c r="F10" s="329">
        <f>G10/E10</f>
        <v>1642222.2222222222</v>
      </c>
      <c r="G10" s="329">
        <f t="shared" ref="G10:P10" si="4">SUM(G6:G9)</f>
        <v>3695000000</v>
      </c>
      <c r="H10" s="329">
        <f t="shared" si="4"/>
        <v>2250</v>
      </c>
      <c r="I10" s="329">
        <f>J10/H10</f>
        <v>1642222.2222222222</v>
      </c>
      <c r="J10" s="329">
        <f>SUM(J6:J9)</f>
        <v>3695000000</v>
      </c>
      <c r="K10" s="329">
        <f t="shared" si="4"/>
        <v>2600</v>
      </c>
      <c r="L10" s="329">
        <f>M10/K10</f>
        <v>1653846.1538461538</v>
      </c>
      <c r="M10" s="330">
        <f t="shared" si="4"/>
        <v>4300000000</v>
      </c>
      <c r="N10" s="329">
        <f t="shared" si="4"/>
        <v>8900</v>
      </c>
      <c r="O10" s="329">
        <f>P10/N10</f>
        <v>1646067.4157303371</v>
      </c>
      <c r="P10" s="330">
        <f t="shared" si="4"/>
        <v>14650000000</v>
      </c>
    </row>
    <row r="11" spans="1:16" ht="22.2" thickTop="1">
      <c r="M11" s="255"/>
    </row>
  </sheetData>
  <mergeCells count="8">
    <mergeCell ref="H4:J4"/>
    <mergeCell ref="K4:M4"/>
    <mergeCell ref="N4:P4"/>
    <mergeCell ref="A1:P1"/>
    <mergeCell ref="A2:P2"/>
    <mergeCell ref="A3:P3"/>
    <mergeCell ref="B4:D4"/>
    <mergeCell ref="E4:G4"/>
  </mergeCells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32"/>
  <sheetViews>
    <sheetView rightToLeft="1" topLeftCell="A19" workbookViewId="0">
      <selection activeCell="A3" sqref="A3:G3"/>
    </sheetView>
  </sheetViews>
  <sheetFormatPr defaultColWidth="22.109375" defaultRowHeight="21.6"/>
  <cols>
    <col min="1" max="1" width="40.44140625" style="29" customWidth="1"/>
    <col min="2" max="2" width="7.88671875" style="2" customWidth="1"/>
    <col min="3" max="7" width="20.109375" style="2" customWidth="1"/>
    <col min="8" max="16384" width="22.109375" style="2"/>
  </cols>
  <sheetData>
    <row r="1" spans="1:7" s="6" customFormat="1" ht="30.75" customHeight="1" thickTop="1">
      <c r="A1" s="403" t="s">
        <v>29</v>
      </c>
      <c r="B1" s="403"/>
      <c r="C1" s="403"/>
      <c r="D1" s="403"/>
      <c r="E1" s="403"/>
      <c r="F1" s="403"/>
      <c r="G1" s="404"/>
    </row>
    <row r="2" spans="1:7" s="6" customFormat="1" ht="30.75" customHeight="1">
      <c r="A2" s="406" t="s">
        <v>23</v>
      </c>
      <c r="B2" s="406"/>
      <c r="C2" s="406"/>
      <c r="D2" s="406"/>
      <c r="E2" s="406"/>
      <c r="F2" s="406"/>
      <c r="G2" s="407"/>
    </row>
    <row r="3" spans="1:7" s="6" customFormat="1" ht="30.75" customHeight="1" thickBot="1">
      <c r="A3" s="409" t="s">
        <v>226</v>
      </c>
      <c r="B3" s="409"/>
      <c r="C3" s="409"/>
      <c r="D3" s="409"/>
      <c r="E3" s="409"/>
      <c r="F3" s="409"/>
      <c r="G3" s="410"/>
    </row>
    <row r="4" spans="1:7" s="22" customFormat="1" ht="41.25" customHeight="1" thickTop="1" thickBot="1">
      <c r="A4" s="23" t="s">
        <v>80</v>
      </c>
      <c r="B4" s="19" t="s">
        <v>24</v>
      </c>
      <c r="C4" s="19" t="s">
        <v>2</v>
      </c>
      <c r="D4" s="19" t="s">
        <v>20</v>
      </c>
      <c r="E4" s="19" t="s">
        <v>3</v>
      </c>
      <c r="F4" s="20" t="s">
        <v>4</v>
      </c>
      <c r="G4" s="21" t="s">
        <v>22</v>
      </c>
    </row>
    <row r="5" spans="1:7" s="3" customFormat="1" ht="35.25" customHeight="1" thickTop="1" thickBot="1">
      <c r="A5" s="25" t="s">
        <v>1</v>
      </c>
      <c r="B5" s="14" t="s">
        <v>25</v>
      </c>
      <c r="C5" s="56">
        <f>'بودجه فروش فصلی'!B6</f>
        <v>500</v>
      </c>
      <c r="D5" s="56">
        <f>'بودجه فروش فصلی'!E6</f>
        <v>650</v>
      </c>
      <c r="E5" s="56">
        <f>'بودجه فروش فصلی'!H6</f>
        <v>650</v>
      </c>
      <c r="F5" s="56">
        <f>'بودجه فروش فصلی'!K6</f>
        <v>700</v>
      </c>
      <c r="G5" s="57">
        <f>F5+E5+D5+C5</f>
        <v>2500</v>
      </c>
    </row>
    <row r="6" spans="1:7" s="3" customFormat="1" ht="39" customHeight="1" thickBot="1">
      <c r="A6" s="26" t="s">
        <v>26</v>
      </c>
      <c r="B6" s="15" t="s">
        <v>25</v>
      </c>
      <c r="C6" s="58">
        <v>50</v>
      </c>
      <c r="D6" s="58">
        <v>40</v>
      </c>
      <c r="E6" s="58">
        <v>30</v>
      </c>
      <c r="F6" s="58">
        <v>50</v>
      </c>
      <c r="G6" s="59">
        <f>SUM(C6:F6)</f>
        <v>170</v>
      </c>
    </row>
    <row r="7" spans="1:7" s="3" customFormat="1" ht="35.25" customHeight="1" thickBot="1">
      <c r="A7" s="11" t="s">
        <v>27</v>
      </c>
      <c r="B7" s="16" t="s">
        <v>25</v>
      </c>
      <c r="C7" s="24">
        <f>C6+C5</f>
        <v>550</v>
      </c>
      <c r="D7" s="24">
        <f t="shared" ref="D7:G7" si="0">D6+D5</f>
        <v>690</v>
      </c>
      <c r="E7" s="24">
        <f t="shared" si="0"/>
        <v>680</v>
      </c>
      <c r="F7" s="24">
        <f t="shared" si="0"/>
        <v>750</v>
      </c>
      <c r="G7" s="60">
        <f t="shared" si="0"/>
        <v>2670</v>
      </c>
    </row>
    <row r="8" spans="1:7" s="3" customFormat="1" ht="35.25" customHeight="1" thickBot="1">
      <c r="A8" s="27" t="s">
        <v>28</v>
      </c>
      <c r="B8" s="17" t="s">
        <v>25</v>
      </c>
      <c r="C8" s="61">
        <v>60</v>
      </c>
      <c r="D8" s="61">
        <v>50</v>
      </c>
      <c r="E8" s="61">
        <v>40</v>
      </c>
      <c r="F8" s="61">
        <v>30</v>
      </c>
      <c r="G8" s="62">
        <f>SUM(C8:F8)</f>
        <v>180</v>
      </c>
    </row>
    <row r="9" spans="1:7" s="3" customFormat="1" ht="35.25" customHeight="1" thickTop="1" thickBot="1">
      <c r="A9" s="28" t="s">
        <v>80</v>
      </c>
      <c r="B9" s="18" t="s">
        <v>25</v>
      </c>
      <c r="C9" s="63">
        <f>C7-C8</f>
        <v>490</v>
      </c>
      <c r="D9" s="63">
        <f t="shared" ref="D9:G9" si="1">D7-D8</f>
        <v>640</v>
      </c>
      <c r="E9" s="63">
        <f t="shared" si="1"/>
        <v>640</v>
      </c>
      <c r="F9" s="63">
        <f t="shared" si="1"/>
        <v>720</v>
      </c>
      <c r="G9" s="64">
        <f t="shared" si="1"/>
        <v>2490</v>
      </c>
    </row>
    <row r="10" spans="1:7" ht="10.5" customHeight="1" thickTop="1" thickBot="1">
      <c r="C10" s="55">
        <f>C7-C9</f>
        <v>60</v>
      </c>
    </row>
    <row r="11" spans="1:7" s="22" customFormat="1" ht="41.25" customHeight="1" thickTop="1" thickBot="1">
      <c r="A11" s="23" t="s">
        <v>81</v>
      </c>
      <c r="B11" s="19" t="s">
        <v>24</v>
      </c>
      <c r="C11" s="19" t="s">
        <v>2</v>
      </c>
      <c r="D11" s="19" t="s">
        <v>20</v>
      </c>
      <c r="E11" s="19" t="s">
        <v>3</v>
      </c>
      <c r="F11" s="20" t="s">
        <v>4</v>
      </c>
      <c r="G11" s="21" t="s">
        <v>22</v>
      </c>
    </row>
    <row r="12" spans="1:7" s="3" customFormat="1" ht="35.25" customHeight="1" thickTop="1" thickBot="1">
      <c r="A12" s="25" t="s">
        <v>1</v>
      </c>
      <c r="B12" s="14" t="s">
        <v>25</v>
      </c>
      <c r="C12" s="56">
        <f>'بودجه فروش فصلی'!B7</f>
        <v>550</v>
      </c>
      <c r="D12" s="56">
        <f>'بودجه فروش فصلی'!E7</f>
        <v>650</v>
      </c>
      <c r="E12" s="56">
        <f>'بودجه فروش فصلی'!H7</f>
        <v>650</v>
      </c>
      <c r="F12" s="56">
        <f>'بودجه فروش فصلی'!K7</f>
        <v>750</v>
      </c>
      <c r="G12" s="57">
        <f>F12+E12+D12+C12</f>
        <v>2600</v>
      </c>
    </row>
    <row r="13" spans="1:7" s="3" customFormat="1" ht="35.25" customHeight="1" thickBot="1">
      <c r="A13" s="26" t="s">
        <v>26</v>
      </c>
      <c r="B13" s="15" t="s">
        <v>25</v>
      </c>
      <c r="C13" s="58">
        <v>60</v>
      </c>
      <c r="D13" s="58">
        <v>40</v>
      </c>
      <c r="E13" s="58">
        <v>50</v>
      </c>
      <c r="F13" s="58">
        <v>60</v>
      </c>
      <c r="G13" s="59">
        <f>SUM(C13:F13)</f>
        <v>210</v>
      </c>
    </row>
    <row r="14" spans="1:7" s="3" customFormat="1" ht="35.25" customHeight="1" thickBot="1">
      <c r="A14" s="11" t="s">
        <v>27</v>
      </c>
      <c r="B14" s="16" t="s">
        <v>25</v>
      </c>
      <c r="C14" s="24">
        <f>C13+C12</f>
        <v>610</v>
      </c>
      <c r="D14" s="24">
        <f t="shared" ref="D14:G14" si="2">D13+D12</f>
        <v>690</v>
      </c>
      <c r="E14" s="24">
        <f t="shared" si="2"/>
        <v>700</v>
      </c>
      <c r="F14" s="24">
        <f t="shared" si="2"/>
        <v>810</v>
      </c>
      <c r="G14" s="60">
        <f t="shared" si="2"/>
        <v>2810</v>
      </c>
    </row>
    <row r="15" spans="1:7" s="3" customFormat="1" ht="35.25" customHeight="1" thickBot="1">
      <c r="A15" s="27" t="s">
        <v>28</v>
      </c>
      <c r="B15" s="17" t="s">
        <v>25</v>
      </c>
      <c r="C15" s="61">
        <v>50</v>
      </c>
      <c r="D15" s="61">
        <v>60</v>
      </c>
      <c r="E15" s="61">
        <v>40</v>
      </c>
      <c r="F15" s="61">
        <v>50</v>
      </c>
      <c r="G15" s="62">
        <f>SUM(C15:F15)</f>
        <v>200</v>
      </c>
    </row>
    <row r="16" spans="1:7" s="3" customFormat="1" ht="35.25" customHeight="1" thickTop="1" thickBot="1">
      <c r="A16" s="28" t="s">
        <v>81</v>
      </c>
      <c r="B16" s="18" t="s">
        <v>25</v>
      </c>
      <c r="C16" s="63">
        <f>C14-C15</f>
        <v>560</v>
      </c>
      <c r="D16" s="63">
        <f t="shared" ref="D16:F16" si="3">D14-D15</f>
        <v>630</v>
      </c>
      <c r="E16" s="63">
        <f t="shared" si="3"/>
        <v>660</v>
      </c>
      <c r="F16" s="63">
        <f t="shared" si="3"/>
        <v>760</v>
      </c>
      <c r="G16" s="64">
        <f>SUM(C16:F16)</f>
        <v>2610</v>
      </c>
    </row>
    <row r="17" spans="1:7" ht="10.5" customHeight="1" thickTop="1" thickBot="1"/>
    <row r="18" spans="1:7" s="22" customFormat="1" ht="41.25" customHeight="1" thickTop="1" thickBot="1">
      <c r="A18" s="23" t="s">
        <v>82</v>
      </c>
      <c r="B18" s="19" t="s">
        <v>24</v>
      </c>
      <c r="C18" s="19" t="s">
        <v>2</v>
      </c>
      <c r="D18" s="19" t="s">
        <v>20</v>
      </c>
      <c r="E18" s="19" t="s">
        <v>3</v>
      </c>
      <c r="F18" s="20" t="s">
        <v>4</v>
      </c>
      <c r="G18" s="21" t="s">
        <v>22</v>
      </c>
    </row>
    <row r="19" spans="1:7" s="3" customFormat="1" ht="35.25" customHeight="1" thickTop="1" thickBot="1">
      <c r="A19" s="25" t="s">
        <v>1</v>
      </c>
      <c r="B19" s="14" t="s">
        <v>25</v>
      </c>
      <c r="C19" s="56">
        <f>'بودجه فروش فصلی'!B8</f>
        <v>450</v>
      </c>
      <c r="D19" s="56">
        <f>'بودجه فروش فصلی'!E8</f>
        <v>550</v>
      </c>
      <c r="E19" s="56">
        <f>'بودجه فروش فصلی'!H8</f>
        <v>550</v>
      </c>
      <c r="F19" s="56">
        <f>'بودجه فروش فصلی'!K8</f>
        <v>650</v>
      </c>
      <c r="G19" s="57">
        <f>F19+E19+D19+C19</f>
        <v>2200</v>
      </c>
    </row>
    <row r="20" spans="1:7" s="3" customFormat="1" ht="35.25" customHeight="1" thickBot="1">
      <c r="A20" s="26" t="s">
        <v>26</v>
      </c>
      <c r="B20" s="15" t="s">
        <v>25</v>
      </c>
      <c r="C20" s="58">
        <v>40</v>
      </c>
      <c r="D20" s="58">
        <v>30</v>
      </c>
      <c r="E20" s="58">
        <v>50</v>
      </c>
      <c r="F20" s="58">
        <v>40</v>
      </c>
      <c r="G20" s="59">
        <f>SUM(C20:F20)</f>
        <v>160</v>
      </c>
    </row>
    <row r="21" spans="1:7" s="3" customFormat="1" ht="35.25" customHeight="1" thickBot="1">
      <c r="A21" s="11" t="s">
        <v>27</v>
      </c>
      <c r="B21" s="16" t="s">
        <v>25</v>
      </c>
      <c r="C21" s="24">
        <f>C20+C19</f>
        <v>490</v>
      </c>
      <c r="D21" s="24">
        <f t="shared" ref="D21:F21" si="4">D20+D19</f>
        <v>580</v>
      </c>
      <c r="E21" s="24">
        <f t="shared" si="4"/>
        <v>600</v>
      </c>
      <c r="F21" s="24">
        <f t="shared" si="4"/>
        <v>690</v>
      </c>
      <c r="G21" s="60">
        <f>SUM(C21:F21)</f>
        <v>2360</v>
      </c>
    </row>
    <row r="22" spans="1:7" s="3" customFormat="1" ht="35.25" customHeight="1" thickBot="1">
      <c r="A22" s="27" t="s">
        <v>28</v>
      </c>
      <c r="B22" s="17" t="s">
        <v>25</v>
      </c>
      <c r="C22" s="61">
        <v>50</v>
      </c>
      <c r="D22" s="61">
        <v>40</v>
      </c>
      <c r="E22" s="61">
        <v>30</v>
      </c>
      <c r="F22" s="61">
        <v>50</v>
      </c>
      <c r="G22" s="62">
        <f>SUM(C22:F22)</f>
        <v>170</v>
      </c>
    </row>
    <row r="23" spans="1:7" s="3" customFormat="1" ht="35.25" customHeight="1" thickTop="1" thickBot="1">
      <c r="A23" s="28" t="s">
        <v>83</v>
      </c>
      <c r="B23" s="18" t="s">
        <v>25</v>
      </c>
      <c r="C23" s="63">
        <f>C21-C22</f>
        <v>440</v>
      </c>
      <c r="D23" s="63">
        <f t="shared" ref="D23:F23" si="5">D21-D22</f>
        <v>540</v>
      </c>
      <c r="E23" s="63">
        <f t="shared" si="5"/>
        <v>570</v>
      </c>
      <c r="F23" s="63">
        <f t="shared" si="5"/>
        <v>640</v>
      </c>
      <c r="G23" s="64">
        <f>SUM(C23:F23)</f>
        <v>2190</v>
      </c>
    </row>
    <row r="24" spans="1:7" ht="9.75" customHeight="1" thickTop="1" thickBot="1"/>
    <row r="25" spans="1:7" s="22" customFormat="1" ht="36.75" customHeight="1" thickTop="1" thickBot="1">
      <c r="A25" s="23" t="s">
        <v>84</v>
      </c>
      <c r="B25" s="19" t="s">
        <v>24</v>
      </c>
      <c r="C25" s="19" t="s">
        <v>2</v>
      </c>
      <c r="D25" s="19" t="s">
        <v>20</v>
      </c>
      <c r="E25" s="19" t="s">
        <v>3</v>
      </c>
      <c r="F25" s="20" t="s">
        <v>4</v>
      </c>
      <c r="G25" s="21" t="s">
        <v>22</v>
      </c>
    </row>
    <row r="26" spans="1:7" s="22" customFormat="1" ht="36.75" customHeight="1" thickTop="1" thickBot="1">
      <c r="A26" s="25" t="s">
        <v>1</v>
      </c>
      <c r="B26" s="14" t="s">
        <v>25</v>
      </c>
      <c r="C26" s="56">
        <f>'بودجه فروش فصلی'!B9</f>
        <v>300</v>
      </c>
      <c r="D26" s="56">
        <f>'بودجه فروش فصلی'!E9</f>
        <v>400</v>
      </c>
      <c r="E26" s="56">
        <f>'بودجه فروش فصلی'!H9</f>
        <v>400</v>
      </c>
      <c r="F26" s="56">
        <f>'بودجه فروش فصلی'!K9</f>
        <v>500</v>
      </c>
      <c r="G26" s="57">
        <f>F26+E26+D26+C26</f>
        <v>1600</v>
      </c>
    </row>
    <row r="27" spans="1:7" s="22" customFormat="1" ht="36.75" customHeight="1" thickBot="1">
      <c r="A27" s="26" t="s">
        <v>26</v>
      </c>
      <c r="B27" s="15" t="s">
        <v>25</v>
      </c>
      <c r="C27" s="58">
        <v>20</v>
      </c>
      <c r="D27" s="58">
        <v>30</v>
      </c>
      <c r="E27" s="58">
        <v>40</v>
      </c>
      <c r="F27" s="58">
        <v>30</v>
      </c>
      <c r="G27" s="59">
        <f>SUM(C27:F27)</f>
        <v>120</v>
      </c>
    </row>
    <row r="28" spans="1:7" s="22" customFormat="1" ht="36.75" customHeight="1" thickBot="1">
      <c r="A28" s="11" t="s">
        <v>27</v>
      </c>
      <c r="B28" s="16" t="s">
        <v>25</v>
      </c>
      <c r="C28" s="24">
        <f>C26+C27</f>
        <v>320</v>
      </c>
      <c r="D28" s="24">
        <f t="shared" ref="D28:F28" si="6">D26+D27</f>
        <v>430</v>
      </c>
      <c r="E28" s="24">
        <f t="shared" si="6"/>
        <v>440</v>
      </c>
      <c r="F28" s="24">
        <f t="shared" si="6"/>
        <v>530</v>
      </c>
      <c r="G28" s="60">
        <f>SUM(C28:F28)</f>
        <v>1720</v>
      </c>
    </row>
    <row r="29" spans="1:7" s="22" customFormat="1" ht="36.75" customHeight="1" thickBot="1">
      <c r="A29" s="27" t="s">
        <v>28</v>
      </c>
      <c r="B29" s="17" t="s">
        <v>25</v>
      </c>
      <c r="C29" s="61">
        <v>30</v>
      </c>
      <c r="D29" s="61">
        <v>20</v>
      </c>
      <c r="E29" s="61">
        <v>30</v>
      </c>
      <c r="F29" s="61">
        <v>40</v>
      </c>
      <c r="G29" s="62">
        <f>SUM(C29:F29)</f>
        <v>120</v>
      </c>
    </row>
    <row r="30" spans="1:7" s="22" customFormat="1" ht="36.75" customHeight="1" thickTop="1" thickBot="1">
      <c r="A30" s="28" t="s">
        <v>84</v>
      </c>
      <c r="B30" s="18" t="s">
        <v>25</v>
      </c>
      <c r="C30" s="63">
        <f>C28-C29</f>
        <v>290</v>
      </c>
      <c r="D30" s="63">
        <f t="shared" ref="D30:F30" si="7">D28-D29</f>
        <v>410</v>
      </c>
      <c r="E30" s="63">
        <f t="shared" si="7"/>
        <v>410</v>
      </c>
      <c r="F30" s="63">
        <f t="shared" si="7"/>
        <v>490</v>
      </c>
      <c r="G30" s="64">
        <f>SUM(C30:F30)</f>
        <v>1600</v>
      </c>
    </row>
    <row r="31" spans="1:7" s="6" customFormat="1" ht="36.75" customHeight="1" thickTop="1" thickBot="1">
      <c r="A31" s="331" t="s">
        <v>205</v>
      </c>
      <c r="B31" s="276" t="s">
        <v>25</v>
      </c>
      <c r="C31" s="275">
        <f>C30+C23+C16+C9</f>
        <v>1780</v>
      </c>
      <c r="D31" s="273">
        <f t="shared" ref="D31:F31" si="8">D30+D23+D16+D9</f>
        <v>2220</v>
      </c>
      <c r="E31" s="273">
        <f t="shared" si="8"/>
        <v>2280</v>
      </c>
      <c r="F31" s="273">
        <f t="shared" si="8"/>
        <v>2610</v>
      </c>
      <c r="G31" s="274">
        <f>G30+G23+G16+G9</f>
        <v>8890</v>
      </c>
    </row>
    <row r="32" spans="1:7" ht="22.2" thickTop="1"/>
  </sheetData>
  <mergeCells count="3">
    <mergeCell ref="A1:G1"/>
    <mergeCell ref="A2:G2"/>
    <mergeCell ref="A3:G3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rightToLeft="1" workbookViewId="0">
      <selection activeCell="A5" sqref="A4:A5"/>
    </sheetView>
  </sheetViews>
  <sheetFormatPr defaultColWidth="22.109375" defaultRowHeight="21.6"/>
  <cols>
    <col min="1" max="1" width="48.88671875" style="29" bestFit="1" customWidth="1"/>
    <col min="2" max="2" width="5.6640625" style="2" bestFit="1" customWidth="1"/>
    <col min="3" max="3" width="6.109375" style="2" bestFit="1" customWidth="1"/>
    <col min="4" max="4" width="16.44140625" style="2" bestFit="1" customWidth="1"/>
    <col min="5" max="5" width="16.33203125" style="2" bestFit="1" customWidth="1"/>
    <col min="6" max="7" width="17.33203125" style="2" bestFit="1" customWidth="1"/>
    <col min="8" max="8" width="17" style="2" bestFit="1" customWidth="1"/>
    <col min="9" max="9" width="18" style="2" bestFit="1" customWidth="1"/>
    <col min="10" max="10" width="17.109375" style="2" bestFit="1" customWidth="1"/>
    <col min="11" max="11" width="19.6640625" style="2" bestFit="1" customWidth="1"/>
    <col min="12" max="12" width="19.44140625" style="2" bestFit="1" customWidth="1"/>
    <col min="13" max="13" width="14.5546875" style="2" bestFit="1" customWidth="1"/>
    <col min="14" max="14" width="19.44140625" style="2" bestFit="1" customWidth="1"/>
    <col min="15" max="15" width="15.5546875" style="2" customWidth="1"/>
    <col min="16" max="16384" width="22.109375" style="2"/>
  </cols>
  <sheetData>
    <row r="1" spans="1:14" s="6" customFormat="1" ht="30.75" customHeight="1" thickTop="1">
      <c r="A1" s="402" t="s">
        <v>29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4"/>
    </row>
    <row r="2" spans="1:14" s="6" customFormat="1" ht="30.75" customHeight="1">
      <c r="A2" s="405" t="s">
        <v>215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7"/>
    </row>
    <row r="3" spans="1:14" s="6" customFormat="1" ht="30.75" customHeight="1" thickBot="1">
      <c r="A3" s="408" t="s">
        <v>226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10"/>
    </row>
    <row r="4" spans="1:14" s="86" customFormat="1" ht="41.25" customHeight="1" thickTop="1" thickBot="1">
      <c r="A4" s="84" t="s">
        <v>88</v>
      </c>
      <c r="B4" s="35" t="s">
        <v>24</v>
      </c>
      <c r="C4" s="35" t="s">
        <v>92</v>
      </c>
      <c r="D4" s="35" t="s">
        <v>36</v>
      </c>
      <c r="E4" s="35" t="s">
        <v>93</v>
      </c>
      <c r="F4" s="35" t="s">
        <v>94</v>
      </c>
      <c r="G4" s="35" t="s">
        <v>95</v>
      </c>
      <c r="H4" s="35" t="s">
        <v>96</v>
      </c>
      <c r="I4" s="35" t="s">
        <v>97</v>
      </c>
      <c r="J4" s="35" t="s">
        <v>98</v>
      </c>
      <c r="K4" s="35" t="s">
        <v>99</v>
      </c>
      <c r="L4" s="35" t="s">
        <v>100</v>
      </c>
      <c r="M4" s="35" t="s">
        <v>101</v>
      </c>
      <c r="N4" s="85" t="s">
        <v>102</v>
      </c>
    </row>
    <row r="5" spans="1:14" s="3" customFormat="1" ht="35.25" customHeight="1" thickTop="1" thickBot="1">
      <c r="A5" s="66" t="s">
        <v>33</v>
      </c>
      <c r="B5" s="14" t="s">
        <v>86</v>
      </c>
      <c r="C5" s="14">
        <v>1.2</v>
      </c>
      <c r="D5" s="77">
        <v>800000</v>
      </c>
      <c r="E5" s="67">
        <f>'بودجه فروش فصلی'!B6*C5</f>
        <v>600</v>
      </c>
      <c r="F5" s="67">
        <f>E5*D5</f>
        <v>480000000</v>
      </c>
      <c r="G5" s="67">
        <f>'بودجه فروش فصلی'!E6*C5</f>
        <v>780</v>
      </c>
      <c r="H5" s="67">
        <f>G5*D5</f>
        <v>624000000</v>
      </c>
      <c r="I5" s="67">
        <f>'بودجه فروش فصلی'!H6*C5</f>
        <v>780</v>
      </c>
      <c r="J5" s="67">
        <f>I5*D5</f>
        <v>624000000</v>
      </c>
      <c r="K5" s="67">
        <f>'بودجه فروش فصلی'!K6*C5</f>
        <v>840</v>
      </c>
      <c r="L5" s="67">
        <f>K5*D5</f>
        <v>672000000</v>
      </c>
      <c r="M5" s="68">
        <f>K5+I5+G5+E5</f>
        <v>3000</v>
      </c>
      <c r="N5" s="57">
        <f>L5+J5+H5+F5</f>
        <v>2400000000</v>
      </c>
    </row>
    <row r="6" spans="1:14" s="3" customFormat="1" ht="39" customHeight="1" thickBot="1">
      <c r="A6" s="69" t="s">
        <v>26</v>
      </c>
      <c r="B6" s="15" t="s">
        <v>86</v>
      </c>
      <c r="C6" s="15">
        <v>1.2</v>
      </c>
      <c r="D6" s="70">
        <v>800000</v>
      </c>
      <c r="E6" s="70">
        <f>50*C6</f>
        <v>60</v>
      </c>
      <c r="F6" s="70">
        <f t="shared" ref="F6:F8" si="0">E6*D6</f>
        <v>48000000</v>
      </c>
      <c r="G6" s="70">
        <f>40*C6</f>
        <v>48</v>
      </c>
      <c r="H6" s="70">
        <f t="shared" ref="H6:H8" si="1">G6*D6</f>
        <v>38400000</v>
      </c>
      <c r="I6" s="70">
        <f>30*C6</f>
        <v>36</v>
      </c>
      <c r="J6" s="70">
        <f t="shared" ref="J6:J8" si="2">I6*D6</f>
        <v>28800000</v>
      </c>
      <c r="K6" s="70">
        <f>50*C6</f>
        <v>60</v>
      </c>
      <c r="L6" s="70">
        <f t="shared" ref="L6:L8" si="3">K6*D6</f>
        <v>48000000</v>
      </c>
      <c r="M6" s="70">
        <f>K6+I6+G6+E6</f>
        <v>204</v>
      </c>
      <c r="N6" s="59">
        <f t="shared" ref="N6:N8" si="4">L6+J6+H6+F6</f>
        <v>163200000</v>
      </c>
    </row>
    <row r="7" spans="1:14" s="3" customFormat="1" ht="35.25" customHeight="1" thickBot="1">
      <c r="A7" s="71" t="s">
        <v>34</v>
      </c>
      <c r="B7" s="16" t="s">
        <v>86</v>
      </c>
      <c r="C7" s="72">
        <v>1.2</v>
      </c>
      <c r="D7" s="16">
        <v>800000</v>
      </c>
      <c r="E7" s="16">
        <f>E6+E5</f>
        <v>660</v>
      </c>
      <c r="F7" s="16">
        <f t="shared" si="0"/>
        <v>528000000</v>
      </c>
      <c r="G7" s="16">
        <f t="shared" ref="G7:K7" si="5">G6+G5</f>
        <v>828</v>
      </c>
      <c r="H7" s="16">
        <f t="shared" si="1"/>
        <v>662400000</v>
      </c>
      <c r="I7" s="16">
        <f t="shared" si="5"/>
        <v>816</v>
      </c>
      <c r="J7" s="16">
        <f t="shared" si="2"/>
        <v>652800000</v>
      </c>
      <c r="K7" s="16">
        <f t="shared" si="5"/>
        <v>900</v>
      </c>
      <c r="L7" s="16">
        <f t="shared" si="3"/>
        <v>720000000</v>
      </c>
      <c r="M7" s="16">
        <f t="shared" ref="M7:M8" si="6">K7+I7+G7+E7</f>
        <v>3204</v>
      </c>
      <c r="N7" s="60">
        <f t="shared" si="4"/>
        <v>2563200000</v>
      </c>
    </row>
    <row r="8" spans="1:14" s="3" customFormat="1" ht="35.25" customHeight="1" thickBot="1">
      <c r="A8" s="73" t="s">
        <v>35</v>
      </c>
      <c r="B8" s="17" t="s">
        <v>86</v>
      </c>
      <c r="C8" s="17">
        <v>1.2</v>
      </c>
      <c r="D8" s="78">
        <v>800000</v>
      </c>
      <c r="E8" s="74">
        <f>60*C8</f>
        <v>72</v>
      </c>
      <c r="F8" s="74">
        <f t="shared" si="0"/>
        <v>57600000</v>
      </c>
      <c r="G8" s="74">
        <f>50*C8</f>
        <v>60</v>
      </c>
      <c r="H8" s="74">
        <f t="shared" si="1"/>
        <v>48000000</v>
      </c>
      <c r="I8" s="74">
        <f>40*C8</f>
        <v>48</v>
      </c>
      <c r="J8" s="74">
        <f t="shared" si="2"/>
        <v>38400000</v>
      </c>
      <c r="K8" s="74">
        <f>30*C8</f>
        <v>36</v>
      </c>
      <c r="L8" s="74">
        <f t="shared" si="3"/>
        <v>28800000</v>
      </c>
      <c r="M8" s="74">
        <f t="shared" si="6"/>
        <v>216</v>
      </c>
      <c r="N8" s="62">
        <f t="shared" si="4"/>
        <v>172800000</v>
      </c>
    </row>
    <row r="9" spans="1:14" s="3" customFormat="1" ht="35.25" customHeight="1" thickTop="1" thickBot="1">
      <c r="A9" s="75" t="s">
        <v>87</v>
      </c>
      <c r="B9" s="18" t="s">
        <v>86</v>
      </c>
      <c r="C9" s="18">
        <v>1.2</v>
      </c>
      <c r="D9" s="76">
        <v>800000</v>
      </c>
      <c r="E9" s="76">
        <f>E7-E8</f>
        <v>588</v>
      </c>
      <c r="F9" s="76">
        <f>F7-F8</f>
        <v>470400000</v>
      </c>
      <c r="G9" s="76">
        <f t="shared" ref="G9:M9" si="7">G7-G8</f>
        <v>768</v>
      </c>
      <c r="H9" s="76">
        <f>H7-H8</f>
        <v>614400000</v>
      </c>
      <c r="I9" s="76">
        <f t="shared" si="7"/>
        <v>768</v>
      </c>
      <c r="J9" s="76">
        <f>J7-J8</f>
        <v>614400000</v>
      </c>
      <c r="K9" s="76">
        <f t="shared" si="7"/>
        <v>864</v>
      </c>
      <c r="L9" s="76">
        <f>L7-L8</f>
        <v>691200000</v>
      </c>
      <c r="M9" s="76">
        <f t="shared" si="7"/>
        <v>2988</v>
      </c>
      <c r="N9" s="64">
        <f>N7-N8</f>
        <v>2390400000</v>
      </c>
    </row>
    <row r="10" spans="1:14" ht="10.5" customHeight="1" thickTop="1" thickBot="1">
      <c r="E10" s="55">
        <f>E7-E9</f>
        <v>72</v>
      </c>
      <c r="F10" s="55"/>
    </row>
    <row r="11" spans="1:14" s="86" customFormat="1" ht="41.25" customHeight="1" thickTop="1" thickBot="1">
      <c r="A11" s="84" t="s">
        <v>89</v>
      </c>
      <c r="B11" s="35" t="s">
        <v>24</v>
      </c>
      <c r="C11" s="35" t="s">
        <v>92</v>
      </c>
      <c r="D11" s="35" t="s">
        <v>36</v>
      </c>
      <c r="E11" s="35" t="s">
        <v>93</v>
      </c>
      <c r="F11" s="35" t="s">
        <v>94</v>
      </c>
      <c r="G11" s="35" t="s">
        <v>95</v>
      </c>
      <c r="H11" s="35" t="s">
        <v>96</v>
      </c>
      <c r="I11" s="35" t="s">
        <v>97</v>
      </c>
      <c r="J11" s="35" t="s">
        <v>98</v>
      </c>
      <c r="K11" s="35" t="s">
        <v>99</v>
      </c>
      <c r="L11" s="35" t="s">
        <v>100</v>
      </c>
      <c r="M11" s="35" t="s">
        <v>101</v>
      </c>
      <c r="N11" s="85" t="s">
        <v>102</v>
      </c>
    </row>
    <row r="12" spans="1:14" s="3" customFormat="1" ht="35.25" customHeight="1" thickTop="1" thickBot="1">
      <c r="A12" s="66" t="s">
        <v>33</v>
      </c>
      <c r="B12" s="14" t="s">
        <v>86</v>
      </c>
      <c r="C12" s="14">
        <v>1.2</v>
      </c>
      <c r="D12" s="79">
        <v>1100000</v>
      </c>
      <c r="E12" s="67">
        <f>'بودجه فروش فصلی'!B7*C12</f>
        <v>660</v>
      </c>
      <c r="F12" s="67">
        <f>D12*E12</f>
        <v>726000000</v>
      </c>
      <c r="G12" s="67">
        <f>'بودجه فروش فصلی'!E7*C12</f>
        <v>780</v>
      </c>
      <c r="H12" s="67">
        <f>G12*D12</f>
        <v>858000000</v>
      </c>
      <c r="I12" s="67">
        <f>'بودجه فروش فصلی'!H7*C12</f>
        <v>780</v>
      </c>
      <c r="J12" s="67">
        <f>I12*D12</f>
        <v>858000000</v>
      </c>
      <c r="K12" s="67">
        <f>'بودجه فروش فصلی'!K7*C12</f>
        <v>900</v>
      </c>
      <c r="L12" s="67">
        <f>K12*D12</f>
        <v>990000000</v>
      </c>
      <c r="M12" s="68">
        <f>K12+I12+G12+E12</f>
        <v>3120</v>
      </c>
      <c r="N12" s="57">
        <f>L12+J12+H12+F12</f>
        <v>3432000000</v>
      </c>
    </row>
    <row r="13" spans="1:14" s="3" customFormat="1" ht="39" customHeight="1" thickBot="1">
      <c r="A13" s="69" t="s">
        <v>26</v>
      </c>
      <c r="B13" s="15" t="s">
        <v>86</v>
      </c>
      <c r="C13" s="15">
        <v>1.2</v>
      </c>
      <c r="D13" s="80">
        <v>1100000</v>
      </c>
      <c r="E13" s="70">
        <f>60*C13</f>
        <v>72</v>
      </c>
      <c r="F13" s="70">
        <f t="shared" ref="F13:F15" si="8">D13*E13</f>
        <v>79200000</v>
      </c>
      <c r="G13" s="70">
        <f>40*C13</f>
        <v>48</v>
      </c>
      <c r="H13" s="70">
        <f t="shared" ref="H13:H15" si="9">G13*D13</f>
        <v>52800000</v>
      </c>
      <c r="I13" s="70">
        <f>50*C13</f>
        <v>60</v>
      </c>
      <c r="J13" s="70">
        <f t="shared" ref="J13:J15" si="10">I13*D13</f>
        <v>66000000</v>
      </c>
      <c r="K13" s="70">
        <f>60*C13</f>
        <v>72</v>
      </c>
      <c r="L13" s="70">
        <f t="shared" ref="L13:L15" si="11">K13*D13</f>
        <v>79200000</v>
      </c>
      <c r="M13" s="70">
        <f t="shared" ref="M13:M15" si="12">K13+I13+G13+E13</f>
        <v>252</v>
      </c>
      <c r="N13" s="59">
        <f t="shared" ref="N13:N15" si="13">L13+J13+H13+F13</f>
        <v>277200000</v>
      </c>
    </row>
    <row r="14" spans="1:14" s="3" customFormat="1" ht="35.25" customHeight="1" thickBot="1">
      <c r="A14" s="71" t="s">
        <v>34</v>
      </c>
      <c r="B14" s="16" t="s">
        <v>86</v>
      </c>
      <c r="C14" s="72">
        <v>1.2</v>
      </c>
      <c r="D14" s="81">
        <v>1100000</v>
      </c>
      <c r="E14" s="16">
        <f>E13+E12</f>
        <v>732</v>
      </c>
      <c r="F14" s="16">
        <f t="shared" si="8"/>
        <v>805200000</v>
      </c>
      <c r="G14" s="16">
        <f t="shared" ref="G14:K14" si="14">G13+G12</f>
        <v>828</v>
      </c>
      <c r="H14" s="16">
        <f t="shared" si="9"/>
        <v>910800000</v>
      </c>
      <c r="I14" s="16">
        <f t="shared" si="14"/>
        <v>840</v>
      </c>
      <c r="J14" s="16">
        <f t="shared" si="10"/>
        <v>924000000</v>
      </c>
      <c r="K14" s="16">
        <f t="shared" si="14"/>
        <v>972</v>
      </c>
      <c r="L14" s="16">
        <f t="shared" si="11"/>
        <v>1069200000</v>
      </c>
      <c r="M14" s="16">
        <f t="shared" si="12"/>
        <v>3372</v>
      </c>
      <c r="N14" s="60">
        <f t="shared" si="13"/>
        <v>3709200000</v>
      </c>
    </row>
    <row r="15" spans="1:14" s="3" customFormat="1" ht="35.25" customHeight="1" thickBot="1">
      <c r="A15" s="73" t="s">
        <v>35</v>
      </c>
      <c r="B15" s="17" t="s">
        <v>86</v>
      </c>
      <c r="C15" s="17">
        <v>1.2</v>
      </c>
      <c r="D15" s="82">
        <v>1100000</v>
      </c>
      <c r="E15" s="74">
        <f>50*C15</f>
        <v>60</v>
      </c>
      <c r="F15" s="74">
        <f t="shared" si="8"/>
        <v>66000000</v>
      </c>
      <c r="G15" s="74">
        <f>60*C15</f>
        <v>72</v>
      </c>
      <c r="H15" s="74">
        <f t="shared" si="9"/>
        <v>79200000</v>
      </c>
      <c r="I15" s="74">
        <f>40*C15</f>
        <v>48</v>
      </c>
      <c r="J15" s="74">
        <f t="shared" si="10"/>
        <v>52800000</v>
      </c>
      <c r="K15" s="74">
        <f>50*C15</f>
        <v>60</v>
      </c>
      <c r="L15" s="74">
        <f t="shared" si="11"/>
        <v>66000000</v>
      </c>
      <c r="M15" s="74">
        <f t="shared" si="12"/>
        <v>240</v>
      </c>
      <c r="N15" s="62">
        <f t="shared" si="13"/>
        <v>264000000</v>
      </c>
    </row>
    <row r="16" spans="1:14" s="3" customFormat="1" ht="35.25" customHeight="1" thickTop="1" thickBot="1">
      <c r="A16" s="75" t="s">
        <v>31</v>
      </c>
      <c r="B16" s="18" t="s">
        <v>86</v>
      </c>
      <c r="C16" s="18">
        <v>1.2</v>
      </c>
      <c r="D16" s="83">
        <v>1100000</v>
      </c>
      <c r="E16" s="76">
        <f>E14-E15</f>
        <v>672</v>
      </c>
      <c r="F16" s="76">
        <f>F14-F15</f>
        <v>739200000</v>
      </c>
      <c r="G16" s="76">
        <f t="shared" ref="G16:K16" si="15">G14-G15</f>
        <v>756</v>
      </c>
      <c r="H16" s="76">
        <f>H14-H15</f>
        <v>831600000</v>
      </c>
      <c r="I16" s="76">
        <f t="shared" si="15"/>
        <v>792</v>
      </c>
      <c r="J16" s="76">
        <f>J14-J15</f>
        <v>871200000</v>
      </c>
      <c r="K16" s="76">
        <f t="shared" si="15"/>
        <v>912</v>
      </c>
      <c r="L16" s="76">
        <f>L14-L15</f>
        <v>1003200000</v>
      </c>
      <c r="M16" s="76">
        <f>M14-M15</f>
        <v>3132</v>
      </c>
      <c r="N16" s="64">
        <f>N14-N15</f>
        <v>3445200000</v>
      </c>
    </row>
    <row r="17" spans="1:14" ht="10.5" customHeight="1" thickTop="1" thickBot="1"/>
    <row r="18" spans="1:14" s="86" customFormat="1" ht="41.25" customHeight="1" thickTop="1" thickBot="1">
      <c r="A18" s="84" t="s">
        <v>90</v>
      </c>
      <c r="B18" s="35" t="s">
        <v>24</v>
      </c>
      <c r="C18" s="35" t="s">
        <v>92</v>
      </c>
      <c r="D18" s="35" t="s">
        <v>36</v>
      </c>
      <c r="E18" s="35" t="s">
        <v>93</v>
      </c>
      <c r="F18" s="35" t="s">
        <v>94</v>
      </c>
      <c r="G18" s="35" t="s">
        <v>95</v>
      </c>
      <c r="H18" s="35" t="s">
        <v>96</v>
      </c>
      <c r="I18" s="35" t="s">
        <v>97</v>
      </c>
      <c r="J18" s="35" t="s">
        <v>98</v>
      </c>
      <c r="K18" s="35" t="s">
        <v>99</v>
      </c>
      <c r="L18" s="35" t="s">
        <v>100</v>
      </c>
      <c r="M18" s="35" t="s">
        <v>101</v>
      </c>
      <c r="N18" s="85" t="s">
        <v>102</v>
      </c>
    </row>
    <row r="19" spans="1:14" s="3" customFormat="1" ht="35.25" customHeight="1" thickTop="1" thickBot="1">
      <c r="A19" s="66" t="s">
        <v>33</v>
      </c>
      <c r="B19" s="14" t="s">
        <v>86</v>
      </c>
      <c r="C19" s="14">
        <v>1.2</v>
      </c>
      <c r="D19" s="79">
        <v>1000000</v>
      </c>
      <c r="E19" s="67">
        <f>'بودجه فروش فصلی'!B8*C19</f>
        <v>540</v>
      </c>
      <c r="F19" s="67">
        <f>E19*D19</f>
        <v>540000000</v>
      </c>
      <c r="G19" s="67">
        <f>'بودجه فروش فصلی'!E8*C19</f>
        <v>660</v>
      </c>
      <c r="H19" s="67">
        <f>G19*D19</f>
        <v>660000000</v>
      </c>
      <c r="I19" s="67">
        <f>'بودجه فروش فصلی'!H8*C19</f>
        <v>660</v>
      </c>
      <c r="J19" s="67">
        <f>I19*D19</f>
        <v>660000000</v>
      </c>
      <c r="K19" s="67">
        <f>'بودجه فروش فصلی'!K8*C19</f>
        <v>780</v>
      </c>
      <c r="L19" s="67">
        <f>K19*D19</f>
        <v>780000000</v>
      </c>
      <c r="M19" s="68">
        <f>K19+I19+G19+E19</f>
        <v>2640</v>
      </c>
      <c r="N19" s="57">
        <f>L19+J19+H19+F19</f>
        <v>2640000000</v>
      </c>
    </row>
    <row r="20" spans="1:14" s="3" customFormat="1" ht="39" customHeight="1" thickBot="1">
      <c r="A20" s="69" t="s">
        <v>26</v>
      </c>
      <c r="B20" s="15" t="s">
        <v>86</v>
      </c>
      <c r="C20" s="15">
        <v>1.2</v>
      </c>
      <c r="D20" s="80">
        <v>1000000</v>
      </c>
      <c r="E20" s="70">
        <f>40*C20</f>
        <v>48</v>
      </c>
      <c r="F20" s="70">
        <f t="shared" ref="F20:F22" si="16">E20*D20</f>
        <v>48000000</v>
      </c>
      <c r="G20" s="70">
        <f>30*C20</f>
        <v>36</v>
      </c>
      <c r="H20" s="70">
        <f t="shared" ref="H20:H22" si="17">G20*D20</f>
        <v>36000000</v>
      </c>
      <c r="I20" s="70">
        <f>50*C20</f>
        <v>60</v>
      </c>
      <c r="J20" s="70">
        <f t="shared" ref="J20:J22" si="18">I20*D20</f>
        <v>60000000</v>
      </c>
      <c r="K20" s="70">
        <f>40*C20</f>
        <v>48</v>
      </c>
      <c r="L20" s="70">
        <f t="shared" ref="L20:L22" si="19">K20*D20</f>
        <v>48000000</v>
      </c>
      <c r="M20" s="70">
        <f t="shared" ref="M20:M22" si="20">K20+I20+G20+E20</f>
        <v>192</v>
      </c>
      <c r="N20" s="59">
        <f t="shared" ref="N20:N22" si="21">L20+J20+H20+F20</f>
        <v>192000000</v>
      </c>
    </row>
    <row r="21" spans="1:14" s="3" customFormat="1" ht="35.25" customHeight="1" thickBot="1">
      <c r="A21" s="71" t="s">
        <v>34</v>
      </c>
      <c r="B21" s="16" t="s">
        <v>86</v>
      </c>
      <c r="C21" s="72">
        <v>1.2</v>
      </c>
      <c r="D21" s="81">
        <v>1000000</v>
      </c>
      <c r="E21" s="16">
        <f>E20+E19</f>
        <v>588</v>
      </c>
      <c r="F21" s="16">
        <f t="shared" si="16"/>
        <v>588000000</v>
      </c>
      <c r="G21" s="16">
        <f t="shared" ref="G21:K21" si="22">G20+G19</f>
        <v>696</v>
      </c>
      <c r="H21" s="16">
        <f t="shared" si="17"/>
        <v>696000000</v>
      </c>
      <c r="I21" s="16">
        <f t="shared" si="22"/>
        <v>720</v>
      </c>
      <c r="J21" s="16">
        <f t="shared" si="18"/>
        <v>720000000</v>
      </c>
      <c r="K21" s="16">
        <f t="shared" si="22"/>
        <v>828</v>
      </c>
      <c r="L21" s="16">
        <f t="shared" si="19"/>
        <v>828000000</v>
      </c>
      <c r="M21" s="16">
        <f t="shared" si="20"/>
        <v>2832</v>
      </c>
      <c r="N21" s="60">
        <f t="shared" si="21"/>
        <v>2832000000</v>
      </c>
    </row>
    <row r="22" spans="1:14" s="3" customFormat="1" ht="35.25" customHeight="1" thickBot="1">
      <c r="A22" s="73" t="s">
        <v>35</v>
      </c>
      <c r="B22" s="17" t="s">
        <v>86</v>
      </c>
      <c r="C22" s="17">
        <v>1.2</v>
      </c>
      <c r="D22" s="82">
        <v>1000000</v>
      </c>
      <c r="E22" s="74">
        <f>50*C22</f>
        <v>60</v>
      </c>
      <c r="F22" s="74">
        <f t="shared" si="16"/>
        <v>60000000</v>
      </c>
      <c r="G22" s="74">
        <f>40*C22</f>
        <v>48</v>
      </c>
      <c r="H22" s="74">
        <f t="shared" si="17"/>
        <v>48000000</v>
      </c>
      <c r="I22" s="74">
        <f>30*C22</f>
        <v>36</v>
      </c>
      <c r="J22" s="74">
        <f t="shared" si="18"/>
        <v>36000000</v>
      </c>
      <c r="K22" s="74">
        <f>50*C22</f>
        <v>60</v>
      </c>
      <c r="L22" s="74">
        <f t="shared" si="19"/>
        <v>60000000</v>
      </c>
      <c r="M22" s="74">
        <f t="shared" si="20"/>
        <v>204</v>
      </c>
      <c r="N22" s="62">
        <f t="shared" si="21"/>
        <v>204000000</v>
      </c>
    </row>
    <row r="23" spans="1:14" s="3" customFormat="1" ht="35.25" customHeight="1" thickTop="1" thickBot="1">
      <c r="A23" s="75" t="s">
        <v>31</v>
      </c>
      <c r="B23" s="18" t="s">
        <v>86</v>
      </c>
      <c r="C23" s="18">
        <v>1.2</v>
      </c>
      <c r="D23" s="83">
        <v>1000000</v>
      </c>
      <c r="E23" s="76">
        <f>E21-E22</f>
        <v>528</v>
      </c>
      <c r="F23" s="76">
        <f>F21-F22</f>
        <v>528000000</v>
      </c>
      <c r="G23" s="76">
        <f t="shared" ref="G23:K23" si="23">G21-G22</f>
        <v>648</v>
      </c>
      <c r="H23" s="76">
        <f>H21-H22</f>
        <v>648000000</v>
      </c>
      <c r="I23" s="76">
        <f t="shared" si="23"/>
        <v>684</v>
      </c>
      <c r="J23" s="76">
        <f>J21-J22</f>
        <v>684000000</v>
      </c>
      <c r="K23" s="76">
        <f t="shared" si="23"/>
        <v>768</v>
      </c>
      <c r="L23" s="76">
        <f>L21-L22</f>
        <v>768000000</v>
      </c>
      <c r="M23" s="76">
        <f>M21-M22</f>
        <v>2628</v>
      </c>
      <c r="N23" s="64">
        <f>N21-N22</f>
        <v>2628000000</v>
      </c>
    </row>
    <row r="24" spans="1:14" ht="9.75" customHeight="1" thickTop="1" thickBot="1"/>
    <row r="25" spans="1:14" s="86" customFormat="1" ht="41.25" customHeight="1" thickTop="1" thickBot="1">
      <c r="A25" s="84" t="s">
        <v>91</v>
      </c>
      <c r="B25" s="35" t="s">
        <v>24</v>
      </c>
      <c r="C25" s="35" t="s">
        <v>92</v>
      </c>
      <c r="D25" s="35" t="s">
        <v>36</v>
      </c>
      <c r="E25" s="35" t="s">
        <v>93</v>
      </c>
      <c r="F25" s="35" t="s">
        <v>94</v>
      </c>
      <c r="G25" s="35" t="s">
        <v>95</v>
      </c>
      <c r="H25" s="35" t="s">
        <v>96</v>
      </c>
      <c r="I25" s="35" t="s">
        <v>97</v>
      </c>
      <c r="J25" s="35" t="s">
        <v>98</v>
      </c>
      <c r="K25" s="35" t="s">
        <v>99</v>
      </c>
      <c r="L25" s="35" t="s">
        <v>100</v>
      </c>
      <c r="M25" s="35" t="s">
        <v>101</v>
      </c>
      <c r="N25" s="85" t="s">
        <v>102</v>
      </c>
    </row>
    <row r="26" spans="1:14" s="3" customFormat="1" ht="35.25" customHeight="1" thickTop="1" thickBot="1">
      <c r="A26" s="66" t="s">
        <v>33</v>
      </c>
      <c r="B26" s="14" t="s">
        <v>86</v>
      </c>
      <c r="C26" s="14">
        <v>1.2</v>
      </c>
      <c r="D26" s="79">
        <v>1250000</v>
      </c>
      <c r="E26" s="67">
        <f>'بودجه فروش فصلی'!B9*C26</f>
        <v>360</v>
      </c>
      <c r="F26" s="67">
        <f>E26*D26</f>
        <v>450000000</v>
      </c>
      <c r="G26" s="67">
        <f>'بودجه فروش فصلی'!E9*C26</f>
        <v>480</v>
      </c>
      <c r="H26" s="67">
        <f>G26*D26</f>
        <v>600000000</v>
      </c>
      <c r="I26" s="67">
        <f>'بودجه فروش فصلی'!H9*C26</f>
        <v>480</v>
      </c>
      <c r="J26" s="67">
        <f>I26*D26</f>
        <v>600000000</v>
      </c>
      <c r="K26" s="67">
        <f>'بودجه فروش فصلی'!K9*C26</f>
        <v>600</v>
      </c>
      <c r="L26" s="67">
        <f>K26*D26</f>
        <v>750000000</v>
      </c>
      <c r="M26" s="68">
        <f>K26+I26+G26+E26</f>
        <v>1920</v>
      </c>
      <c r="N26" s="57">
        <f>L26+J26+H26+F26</f>
        <v>2400000000</v>
      </c>
    </row>
    <row r="27" spans="1:14" s="3" customFormat="1" ht="39" customHeight="1" thickBot="1">
      <c r="A27" s="69" t="s">
        <v>26</v>
      </c>
      <c r="B27" s="15" t="s">
        <v>86</v>
      </c>
      <c r="C27" s="15">
        <v>1.2</v>
      </c>
      <c r="D27" s="80">
        <v>1250000</v>
      </c>
      <c r="E27" s="70">
        <f>20*C27</f>
        <v>24</v>
      </c>
      <c r="F27" s="70">
        <f t="shared" ref="F27:F29" si="24">E27*D27</f>
        <v>30000000</v>
      </c>
      <c r="G27" s="70">
        <f>30*C27</f>
        <v>36</v>
      </c>
      <c r="H27" s="70">
        <f t="shared" ref="H27:H29" si="25">G27*D27</f>
        <v>45000000</v>
      </c>
      <c r="I27" s="70">
        <f>40*C27</f>
        <v>48</v>
      </c>
      <c r="J27" s="70">
        <f t="shared" ref="J27:J29" si="26">I27*D27</f>
        <v>60000000</v>
      </c>
      <c r="K27" s="70">
        <f>30*C27</f>
        <v>36</v>
      </c>
      <c r="L27" s="70">
        <f t="shared" ref="L27:L29" si="27">K27*D27</f>
        <v>45000000</v>
      </c>
      <c r="M27" s="70">
        <f t="shared" ref="M27:M29" si="28">K27+I27+G27+E27</f>
        <v>144</v>
      </c>
      <c r="N27" s="59">
        <f t="shared" ref="N27:N29" si="29">L27+J27+H27+F27</f>
        <v>180000000</v>
      </c>
    </row>
    <row r="28" spans="1:14" s="3" customFormat="1" ht="35.25" customHeight="1" thickBot="1">
      <c r="A28" s="71" t="s">
        <v>34</v>
      </c>
      <c r="B28" s="16" t="s">
        <v>86</v>
      </c>
      <c r="C28" s="72">
        <v>1.2</v>
      </c>
      <c r="D28" s="81">
        <v>1250000</v>
      </c>
      <c r="E28" s="16">
        <f>E26+E27</f>
        <v>384</v>
      </c>
      <c r="F28" s="16">
        <f t="shared" si="24"/>
        <v>480000000</v>
      </c>
      <c r="G28" s="16">
        <f t="shared" ref="G28:K28" si="30">G26+G27</f>
        <v>516</v>
      </c>
      <c r="H28" s="16">
        <f t="shared" si="25"/>
        <v>645000000</v>
      </c>
      <c r="I28" s="16">
        <f t="shared" si="30"/>
        <v>528</v>
      </c>
      <c r="J28" s="16">
        <f t="shared" si="26"/>
        <v>660000000</v>
      </c>
      <c r="K28" s="16">
        <f t="shared" si="30"/>
        <v>636</v>
      </c>
      <c r="L28" s="16">
        <f t="shared" si="27"/>
        <v>795000000</v>
      </c>
      <c r="M28" s="16">
        <f t="shared" si="28"/>
        <v>2064</v>
      </c>
      <c r="N28" s="60">
        <f t="shared" si="29"/>
        <v>2580000000</v>
      </c>
    </row>
    <row r="29" spans="1:14" s="3" customFormat="1" ht="35.25" customHeight="1" thickBot="1">
      <c r="A29" s="73" t="s">
        <v>35</v>
      </c>
      <c r="B29" s="17" t="s">
        <v>86</v>
      </c>
      <c r="C29" s="17">
        <v>1.2</v>
      </c>
      <c r="D29" s="82">
        <v>1250000</v>
      </c>
      <c r="E29" s="74">
        <f>30*C29</f>
        <v>36</v>
      </c>
      <c r="F29" s="74">
        <f t="shared" si="24"/>
        <v>45000000</v>
      </c>
      <c r="G29" s="74">
        <f>20*C29</f>
        <v>24</v>
      </c>
      <c r="H29" s="74">
        <f t="shared" si="25"/>
        <v>30000000</v>
      </c>
      <c r="I29" s="74">
        <f>30*C29</f>
        <v>36</v>
      </c>
      <c r="J29" s="74">
        <f t="shared" si="26"/>
        <v>45000000</v>
      </c>
      <c r="K29" s="74">
        <f>40*C29</f>
        <v>48</v>
      </c>
      <c r="L29" s="74">
        <f t="shared" si="27"/>
        <v>60000000</v>
      </c>
      <c r="M29" s="74">
        <f t="shared" si="28"/>
        <v>144</v>
      </c>
      <c r="N29" s="62">
        <f t="shared" si="29"/>
        <v>180000000</v>
      </c>
    </row>
    <row r="30" spans="1:14" s="3" customFormat="1" ht="35.25" customHeight="1" thickTop="1" thickBot="1">
      <c r="A30" s="75" t="s">
        <v>31</v>
      </c>
      <c r="B30" s="18" t="s">
        <v>86</v>
      </c>
      <c r="C30" s="18">
        <v>1.2</v>
      </c>
      <c r="D30" s="83">
        <v>1250000</v>
      </c>
      <c r="E30" s="76">
        <f>E28-E29</f>
        <v>348</v>
      </c>
      <c r="F30" s="76">
        <f>F28-F29</f>
        <v>435000000</v>
      </c>
      <c r="G30" s="76">
        <f t="shared" ref="G30:K30" si="31">G28-G29</f>
        <v>492</v>
      </c>
      <c r="H30" s="76">
        <f>H28-H29</f>
        <v>615000000</v>
      </c>
      <c r="I30" s="76">
        <f t="shared" si="31"/>
        <v>492</v>
      </c>
      <c r="J30" s="76">
        <f>J28-J29</f>
        <v>615000000</v>
      </c>
      <c r="K30" s="76">
        <f t="shared" si="31"/>
        <v>588</v>
      </c>
      <c r="L30" s="76">
        <f>L28-L29</f>
        <v>735000000</v>
      </c>
      <c r="M30" s="76">
        <f>M28-M29</f>
        <v>1920</v>
      </c>
      <c r="N30" s="87">
        <f>N28-N29</f>
        <v>2400000000</v>
      </c>
    </row>
    <row r="31" spans="1:14" ht="39" customHeight="1" thickTop="1" thickBot="1">
      <c r="A31" s="277" t="s">
        <v>151</v>
      </c>
      <c r="B31" s="279"/>
      <c r="C31" s="278"/>
      <c r="F31" s="88">
        <f>F30+F23+F16+F9</f>
        <v>2172600000</v>
      </c>
      <c r="H31" s="88">
        <f>H30+H23+H16+H9</f>
        <v>2709000000</v>
      </c>
      <c r="J31" s="88">
        <f>J30+J23+J16+J9</f>
        <v>2784600000</v>
      </c>
      <c r="L31" s="88">
        <f>L30+L23+L16+L9</f>
        <v>3197400000</v>
      </c>
      <c r="N31" s="88">
        <f>N9+N16+N23+N30</f>
        <v>10863600000</v>
      </c>
    </row>
    <row r="32" spans="1:14" ht="22.2" thickTop="1"/>
  </sheetData>
  <mergeCells count="3">
    <mergeCell ref="A1:N1"/>
    <mergeCell ref="A2:N2"/>
    <mergeCell ref="A3:N3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V12"/>
  <sheetViews>
    <sheetView rightToLeft="1" topLeftCell="E1" workbookViewId="0">
      <selection activeCell="A3" sqref="A3:V3"/>
    </sheetView>
  </sheetViews>
  <sheetFormatPr defaultColWidth="22.109375" defaultRowHeight="21.6"/>
  <cols>
    <col min="1" max="1" width="37.6640625" style="29" bestFit="1" customWidth="1"/>
    <col min="2" max="2" width="7.5546875" style="2" bestFit="1" customWidth="1"/>
    <col min="3" max="3" width="17.88671875" style="2" bestFit="1" customWidth="1"/>
    <col min="4" max="4" width="19.6640625" style="2" bestFit="1" customWidth="1"/>
    <col min="5" max="5" width="18.109375" style="2" bestFit="1" customWidth="1"/>
    <col min="6" max="6" width="19.5546875" style="2" bestFit="1" customWidth="1"/>
    <col min="7" max="7" width="18" style="2" bestFit="1" customWidth="1"/>
    <col min="8" max="8" width="19.6640625" style="2" bestFit="1" customWidth="1"/>
    <col min="9" max="9" width="18" style="2" bestFit="1" customWidth="1"/>
    <col min="10" max="10" width="19.5546875" style="2" bestFit="1" customWidth="1"/>
    <col min="11" max="11" width="18" style="2" bestFit="1" customWidth="1"/>
    <col min="12" max="12" width="19.6640625" style="2" bestFit="1" customWidth="1"/>
    <col min="13" max="13" width="18" style="2" bestFit="1" customWidth="1"/>
    <col min="14" max="14" width="19.6640625" style="2" bestFit="1" customWidth="1"/>
    <col min="15" max="15" width="18.109375" style="2" bestFit="1" customWidth="1"/>
    <col min="16" max="16" width="19.5546875" style="2" bestFit="1" customWidth="1"/>
    <col min="17" max="17" width="18" style="2" bestFit="1" customWidth="1"/>
    <col min="18" max="18" width="19.6640625" style="2" bestFit="1" customWidth="1"/>
    <col min="19" max="21" width="19.5546875" style="2" bestFit="1" customWidth="1"/>
    <col min="22" max="22" width="22.109375" style="2" bestFit="1" customWidth="1"/>
    <col min="23" max="16384" width="22.109375" style="2"/>
  </cols>
  <sheetData>
    <row r="1" spans="1:22" s="6" customFormat="1" ht="30.75" customHeight="1" thickTop="1">
      <c r="A1" s="402" t="s">
        <v>29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4"/>
    </row>
    <row r="2" spans="1:22" s="6" customFormat="1" ht="30.75" customHeight="1">
      <c r="A2" s="405" t="s">
        <v>59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7"/>
    </row>
    <row r="3" spans="1:22" s="6" customFormat="1" ht="30.75" customHeight="1" thickBot="1">
      <c r="A3" s="408" t="s">
        <v>226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10"/>
    </row>
    <row r="4" spans="1:22" s="22" customFormat="1" ht="41.25" customHeight="1" thickTop="1" thickBot="1">
      <c r="A4" s="98" t="s">
        <v>37</v>
      </c>
      <c r="B4" s="36" t="s">
        <v>24</v>
      </c>
      <c r="C4" s="411" t="s">
        <v>2</v>
      </c>
      <c r="D4" s="412"/>
      <c r="E4" s="412"/>
      <c r="F4" s="413"/>
      <c r="G4" s="414" t="s">
        <v>20</v>
      </c>
      <c r="H4" s="414"/>
      <c r="I4" s="414"/>
      <c r="J4" s="414"/>
      <c r="K4" s="411" t="s">
        <v>3</v>
      </c>
      <c r="L4" s="412"/>
      <c r="M4" s="412"/>
      <c r="N4" s="413"/>
      <c r="O4" s="412" t="s">
        <v>4</v>
      </c>
      <c r="P4" s="412"/>
      <c r="Q4" s="412"/>
      <c r="R4" s="413"/>
      <c r="S4" s="414" t="s">
        <v>22</v>
      </c>
      <c r="T4" s="414"/>
      <c r="U4" s="414"/>
      <c r="V4" s="415"/>
    </row>
    <row r="5" spans="1:22" s="3" customFormat="1" ht="41.25" customHeight="1" thickTop="1" thickBot="1">
      <c r="A5" s="99" t="s">
        <v>21</v>
      </c>
      <c r="B5" s="30"/>
      <c r="C5" s="91" t="s">
        <v>76</v>
      </c>
      <c r="D5" s="34" t="s">
        <v>85</v>
      </c>
      <c r="E5" s="34" t="s">
        <v>78</v>
      </c>
      <c r="F5" s="5" t="s">
        <v>79</v>
      </c>
      <c r="G5" s="89" t="s">
        <v>76</v>
      </c>
      <c r="H5" s="4" t="s">
        <v>85</v>
      </c>
      <c r="I5" s="4" t="s">
        <v>78</v>
      </c>
      <c r="J5" s="4" t="s">
        <v>79</v>
      </c>
      <c r="K5" s="90" t="s">
        <v>76</v>
      </c>
      <c r="L5" s="4" t="s">
        <v>85</v>
      </c>
      <c r="M5" s="4" t="s">
        <v>78</v>
      </c>
      <c r="N5" s="5" t="s">
        <v>79</v>
      </c>
      <c r="O5" s="89" t="s">
        <v>76</v>
      </c>
      <c r="P5" s="4" t="s">
        <v>85</v>
      </c>
      <c r="Q5" s="4" t="s">
        <v>78</v>
      </c>
      <c r="R5" s="5" t="s">
        <v>79</v>
      </c>
      <c r="S5" s="89" t="s">
        <v>76</v>
      </c>
      <c r="T5" s="4" t="s">
        <v>85</v>
      </c>
      <c r="U5" s="4" t="s">
        <v>78</v>
      </c>
      <c r="V5" s="5" t="s">
        <v>79</v>
      </c>
    </row>
    <row r="6" spans="1:22" s="3" customFormat="1" ht="41.25" customHeight="1" thickBot="1">
      <c r="A6" s="100" t="s">
        <v>30</v>
      </c>
      <c r="B6" s="31" t="s">
        <v>25</v>
      </c>
      <c r="C6" s="92">
        <f>'بودجه تولید'!C9</f>
        <v>490</v>
      </c>
      <c r="D6" s="58">
        <f>'بودجه تولید'!C16</f>
        <v>560</v>
      </c>
      <c r="E6" s="58">
        <f>'بودجه تولید'!C23</f>
        <v>440</v>
      </c>
      <c r="F6" s="59">
        <f>'بودجه تولید'!C30</f>
        <v>290</v>
      </c>
      <c r="G6" s="95">
        <f>'بودجه تولید'!D9</f>
        <v>640</v>
      </c>
      <c r="H6" s="58">
        <f>'بودجه تولید'!D16</f>
        <v>630</v>
      </c>
      <c r="I6" s="58">
        <f>'بودجه تولید'!D23</f>
        <v>540</v>
      </c>
      <c r="J6" s="58">
        <f>'بودجه تولید'!D30</f>
        <v>410</v>
      </c>
      <c r="K6" s="92">
        <f>'بودجه تولید'!E9</f>
        <v>640</v>
      </c>
      <c r="L6" s="58">
        <f>'بودجه تولید'!E16</f>
        <v>660</v>
      </c>
      <c r="M6" s="58">
        <f>'بودجه تولید'!E23</f>
        <v>570</v>
      </c>
      <c r="N6" s="59">
        <f>'بودجه تولید'!E30</f>
        <v>410</v>
      </c>
      <c r="O6" s="95">
        <f>'بودجه تولید'!F9</f>
        <v>720</v>
      </c>
      <c r="P6" s="58">
        <f>'بودجه تولید'!F16</f>
        <v>760</v>
      </c>
      <c r="Q6" s="58">
        <f>'بودجه تولید'!F23</f>
        <v>640</v>
      </c>
      <c r="R6" s="59">
        <f>'بودجه تولید'!F30</f>
        <v>490</v>
      </c>
      <c r="S6" s="95">
        <f>O6+K6+G6+C6</f>
        <v>2490</v>
      </c>
      <c r="T6" s="58">
        <f>P6+L6+H6+D6</f>
        <v>2610</v>
      </c>
      <c r="U6" s="58">
        <f>Q6+M6+I6+E6</f>
        <v>2190</v>
      </c>
      <c r="V6" s="59">
        <f>R6+N6+J6+F6</f>
        <v>1600</v>
      </c>
    </row>
    <row r="7" spans="1:22" s="3" customFormat="1" ht="41.25" customHeight="1" thickBot="1">
      <c r="A7" s="101" t="s">
        <v>103</v>
      </c>
      <c r="B7" s="24" t="s">
        <v>38</v>
      </c>
      <c r="C7" s="93">
        <v>0.45</v>
      </c>
      <c r="D7" s="94">
        <v>0.6</v>
      </c>
      <c r="E7" s="94">
        <v>0.4</v>
      </c>
      <c r="F7" s="96">
        <v>0.5</v>
      </c>
      <c r="G7" s="97">
        <v>0.45</v>
      </c>
      <c r="H7" s="94">
        <v>0.6</v>
      </c>
      <c r="I7" s="94">
        <v>0.4</v>
      </c>
      <c r="J7" s="94">
        <v>0.5</v>
      </c>
      <c r="K7" s="93">
        <v>0.45</v>
      </c>
      <c r="L7" s="94">
        <v>0.6</v>
      </c>
      <c r="M7" s="94">
        <v>0.4</v>
      </c>
      <c r="N7" s="96">
        <v>0.5</v>
      </c>
      <c r="O7" s="97">
        <v>0.45</v>
      </c>
      <c r="P7" s="94">
        <v>0.6</v>
      </c>
      <c r="Q7" s="94">
        <v>0.4</v>
      </c>
      <c r="R7" s="96">
        <v>0.5</v>
      </c>
      <c r="S7" s="97">
        <v>0.45</v>
      </c>
      <c r="T7" s="94">
        <v>0.6</v>
      </c>
      <c r="U7" s="94">
        <v>0.4</v>
      </c>
      <c r="V7" s="96">
        <v>0.5</v>
      </c>
    </row>
    <row r="8" spans="1:22" s="3" customFormat="1" ht="41.25" customHeight="1" thickBot="1">
      <c r="A8" s="102" t="s">
        <v>39</v>
      </c>
      <c r="B8" s="32" t="s">
        <v>40</v>
      </c>
      <c r="C8" s="337">
        <v>300000</v>
      </c>
      <c r="D8" s="338">
        <v>300000</v>
      </c>
      <c r="E8" s="338">
        <v>300000</v>
      </c>
      <c r="F8" s="339">
        <v>300000</v>
      </c>
      <c r="G8" s="340">
        <v>300000</v>
      </c>
      <c r="H8" s="341">
        <v>300000</v>
      </c>
      <c r="I8" s="341">
        <v>300000</v>
      </c>
      <c r="J8" s="341">
        <v>300000</v>
      </c>
      <c r="K8" s="342">
        <v>300000</v>
      </c>
      <c r="L8" s="341">
        <v>300000</v>
      </c>
      <c r="M8" s="341">
        <v>300000</v>
      </c>
      <c r="N8" s="339">
        <v>300000</v>
      </c>
      <c r="O8" s="340">
        <v>300000</v>
      </c>
      <c r="P8" s="341">
        <v>300000</v>
      </c>
      <c r="Q8" s="341">
        <v>300000</v>
      </c>
      <c r="R8" s="339">
        <v>300000</v>
      </c>
      <c r="S8" s="340">
        <v>300000</v>
      </c>
      <c r="T8" s="341">
        <v>300000</v>
      </c>
      <c r="U8" s="341">
        <v>300000</v>
      </c>
      <c r="V8" s="339">
        <v>300000</v>
      </c>
    </row>
    <row r="9" spans="1:22" s="3" customFormat="1" ht="41.25" customHeight="1" thickTop="1" thickBot="1">
      <c r="A9" s="103" t="s">
        <v>104</v>
      </c>
      <c r="B9" s="33" t="s">
        <v>40</v>
      </c>
      <c r="C9" s="332">
        <f>C7*C8</f>
        <v>135000</v>
      </c>
      <c r="D9" s="333">
        <f t="shared" ref="D9:V9" si="0">D7*D8</f>
        <v>180000</v>
      </c>
      <c r="E9" s="333">
        <f t="shared" si="0"/>
        <v>120000</v>
      </c>
      <c r="F9" s="334">
        <f t="shared" si="0"/>
        <v>150000</v>
      </c>
      <c r="G9" s="335">
        <f t="shared" si="0"/>
        <v>135000</v>
      </c>
      <c r="H9" s="333">
        <f t="shared" si="0"/>
        <v>180000</v>
      </c>
      <c r="I9" s="333">
        <f t="shared" si="0"/>
        <v>120000</v>
      </c>
      <c r="J9" s="333">
        <f t="shared" si="0"/>
        <v>150000</v>
      </c>
      <c r="K9" s="336">
        <f t="shared" si="0"/>
        <v>135000</v>
      </c>
      <c r="L9" s="333">
        <f t="shared" si="0"/>
        <v>180000</v>
      </c>
      <c r="M9" s="333">
        <f t="shared" si="0"/>
        <v>120000</v>
      </c>
      <c r="N9" s="334">
        <f t="shared" si="0"/>
        <v>150000</v>
      </c>
      <c r="O9" s="335">
        <f t="shared" si="0"/>
        <v>135000</v>
      </c>
      <c r="P9" s="333">
        <f t="shared" si="0"/>
        <v>180000</v>
      </c>
      <c r="Q9" s="333">
        <f t="shared" si="0"/>
        <v>120000</v>
      </c>
      <c r="R9" s="334">
        <f t="shared" si="0"/>
        <v>150000</v>
      </c>
      <c r="S9" s="335">
        <f t="shared" si="0"/>
        <v>135000</v>
      </c>
      <c r="T9" s="333">
        <f t="shared" si="0"/>
        <v>180000</v>
      </c>
      <c r="U9" s="333">
        <f t="shared" si="0"/>
        <v>120000</v>
      </c>
      <c r="V9" s="334">
        <f t="shared" si="0"/>
        <v>150000</v>
      </c>
    </row>
    <row r="10" spans="1:22" s="3" customFormat="1" ht="41.25" customHeight="1" thickTop="1" thickBot="1">
      <c r="A10" s="289" t="s">
        <v>105</v>
      </c>
      <c r="B10" s="290" t="s">
        <v>40</v>
      </c>
      <c r="C10" s="291">
        <f>C9*C6</f>
        <v>66150000</v>
      </c>
      <c r="D10" s="281">
        <f t="shared" ref="D10:V10" si="1">D9*D6</f>
        <v>100800000</v>
      </c>
      <c r="E10" s="281">
        <f t="shared" si="1"/>
        <v>52800000</v>
      </c>
      <c r="F10" s="282">
        <f t="shared" si="1"/>
        <v>43500000</v>
      </c>
      <c r="G10" s="292">
        <f t="shared" si="1"/>
        <v>86400000</v>
      </c>
      <c r="H10" s="281">
        <f t="shared" si="1"/>
        <v>113400000</v>
      </c>
      <c r="I10" s="281">
        <f t="shared" si="1"/>
        <v>64800000</v>
      </c>
      <c r="J10" s="281">
        <f t="shared" si="1"/>
        <v>61500000</v>
      </c>
      <c r="K10" s="293">
        <f t="shared" si="1"/>
        <v>86400000</v>
      </c>
      <c r="L10" s="281">
        <f t="shared" si="1"/>
        <v>118800000</v>
      </c>
      <c r="M10" s="281">
        <f t="shared" si="1"/>
        <v>68400000</v>
      </c>
      <c r="N10" s="282">
        <f t="shared" si="1"/>
        <v>61500000</v>
      </c>
      <c r="O10" s="292">
        <f t="shared" si="1"/>
        <v>97200000</v>
      </c>
      <c r="P10" s="281">
        <f t="shared" si="1"/>
        <v>136800000</v>
      </c>
      <c r="Q10" s="281">
        <f t="shared" si="1"/>
        <v>76800000</v>
      </c>
      <c r="R10" s="282">
        <f t="shared" si="1"/>
        <v>73500000</v>
      </c>
      <c r="S10" s="292">
        <f t="shared" si="1"/>
        <v>336150000</v>
      </c>
      <c r="T10" s="281">
        <f t="shared" si="1"/>
        <v>469800000</v>
      </c>
      <c r="U10" s="281">
        <f t="shared" si="1"/>
        <v>262800000</v>
      </c>
      <c r="V10" s="294">
        <f t="shared" si="1"/>
        <v>240000000</v>
      </c>
    </row>
    <row r="11" spans="1:22" ht="39.75" customHeight="1" thickTop="1" thickBot="1">
      <c r="A11" s="280" t="s">
        <v>152</v>
      </c>
      <c r="F11" s="215">
        <f>C10+D10+E10+F10</f>
        <v>263250000</v>
      </c>
      <c r="G11" s="6"/>
      <c r="H11" s="6"/>
      <c r="I11" s="6"/>
      <c r="J11" s="215">
        <f>J10+I10+H10+G10</f>
        <v>326100000</v>
      </c>
      <c r="K11" s="6"/>
      <c r="L11" s="6"/>
      <c r="M11" s="6"/>
      <c r="N11" s="215">
        <f>N10+M10+L10+K10</f>
        <v>335100000</v>
      </c>
      <c r="O11" s="6"/>
      <c r="P11" s="6"/>
      <c r="Q11" s="6"/>
      <c r="R11" s="215">
        <f>R10+Q10+P10+O10</f>
        <v>384300000</v>
      </c>
      <c r="S11" s="216"/>
      <c r="T11" s="216"/>
      <c r="U11" s="216"/>
      <c r="V11" s="215">
        <f>V10+U10+T10+S10</f>
        <v>1308750000</v>
      </c>
    </row>
    <row r="12" spans="1:22" ht="22.2" thickTop="1">
      <c r="V12" s="104"/>
    </row>
  </sheetData>
  <mergeCells count="8">
    <mergeCell ref="A1:V1"/>
    <mergeCell ref="A2:V2"/>
    <mergeCell ref="A3:V3"/>
    <mergeCell ref="C4:F4"/>
    <mergeCell ref="G4:J4"/>
    <mergeCell ref="K4:N4"/>
    <mergeCell ref="O4:R4"/>
    <mergeCell ref="S4:V4"/>
  </mergeCell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rightToLeft="1" workbookViewId="0">
      <selection activeCell="A5" sqref="A5"/>
    </sheetView>
  </sheetViews>
  <sheetFormatPr defaultColWidth="22.109375" defaultRowHeight="21.6"/>
  <cols>
    <col min="1" max="1" width="40.5546875" style="29" customWidth="1"/>
    <col min="2" max="6" width="20.6640625" style="2" customWidth="1"/>
    <col min="7" max="16384" width="22.109375" style="2"/>
  </cols>
  <sheetData>
    <row r="1" spans="1:6" s="6" customFormat="1" ht="30.75" customHeight="1" thickTop="1">
      <c r="A1" s="402" t="s">
        <v>29</v>
      </c>
      <c r="B1" s="403"/>
      <c r="C1" s="403"/>
      <c r="D1" s="403"/>
      <c r="E1" s="403"/>
      <c r="F1" s="404"/>
    </row>
    <row r="2" spans="1:6" s="6" customFormat="1" ht="30.75" customHeight="1">
      <c r="A2" s="405" t="s">
        <v>49</v>
      </c>
      <c r="B2" s="406"/>
      <c r="C2" s="406"/>
      <c r="D2" s="406"/>
      <c r="E2" s="406"/>
      <c r="F2" s="407"/>
    </row>
    <row r="3" spans="1:6" s="6" customFormat="1" ht="30.75" customHeight="1" thickBot="1">
      <c r="A3" s="408" t="s">
        <v>226</v>
      </c>
      <c r="B3" s="409"/>
      <c r="C3" s="409"/>
      <c r="D3" s="409"/>
      <c r="E3" s="409"/>
      <c r="F3" s="410"/>
    </row>
    <row r="4" spans="1:6" s="22" customFormat="1" ht="41.25" customHeight="1" thickTop="1" thickBot="1">
      <c r="A4" s="48" t="s">
        <v>49</v>
      </c>
      <c r="B4" s="36" t="s">
        <v>2</v>
      </c>
      <c r="C4" s="36" t="s">
        <v>20</v>
      </c>
      <c r="D4" s="36" t="s">
        <v>3</v>
      </c>
      <c r="E4" s="36" t="s">
        <v>4</v>
      </c>
      <c r="F4" s="49" t="s">
        <v>22</v>
      </c>
    </row>
    <row r="5" spans="1:6" s="3" customFormat="1" ht="41.25" customHeight="1" thickTop="1" thickBot="1">
      <c r="A5" s="50" t="s">
        <v>60</v>
      </c>
      <c r="B5" s="106">
        <v>12500000</v>
      </c>
      <c r="C5" s="56">
        <v>14200000</v>
      </c>
      <c r="D5" s="56">
        <v>13200000</v>
      </c>
      <c r="E5" s="56">
        <v>15600000</v>
      </c>
      <c r="F5" s="107">
        <f>SUM(B5:E5)</f>
        <v>55500000</v>
      </c>
    </row>
    <row r="6" spans="1:6" s="3" customFormat="1" ht="41.25" customHeight="1" thickBot="1">
      <c r="A6" s="51" t="s">
        <v>106</v>
      </c>
      <c r="B6" s="58">
        <f>36000000*2</f>
        <v>72000000</v>
      </c>
      <c r="C6" s="58">
        <v>72000000</v>
      </c>
      <c r="D6" s="58">
        <v>72000000</v>
      </c>
      <c r="E6" s="58">
        <v>72000000</v>
      </c>
      <c r="F6" s="59">
        <f>SUM(B6:E6)</f>
        <v>288000000</v>
      </c>
    </row>
    <row r="7" spans="1:6" s="3" customFormat="1" ht="41.25" customHeight="1" thickBot="1">
      <c r="A7" s="52" t="s">
        <v>61</v>
      </c>
      <c r="B7" s="24">
        <v>3250000</v>
      </c>
      <c r="C7" s="24">
        <v>3420000</v>
      </c>
      <c r="D7" s="24">
        <v>3560000</v>
      </c>
      <c r="E7" s="24">
        <v>3890000</v>
      </c>
      <c r="F7" s="60">
        <f>SUM(B7:E7)</f>
        <v>14120000</v>
      </c>
    </row>
    <row r="8" spans="1:6" s="3" customFormat="1" ht="41.25" customHeight="1" thickBot="1">
      <c r="A8" s="53" t="s">
        <v>113</v>
      </c>
      <c r="B8" s="105">
        <v>2560000</v>
      </c>
      <c r="C8" s="61">
        <v>3260000</v>
      </c>
      <c r="D8" s="61">
        <v>2960000</v>
      </c>
      <c r="E8" s="61">
        <v>4620000</v>
      </c>
      <c r="F8" s="62">
        <f>SUM(B8:E8)</f>
        <v>13400000</v>
      </c>
    </row>
    <row r="9" spans="1:6" s="3" customFormat="1" ht="41.25" customHeight="1" thickTop="1" thickBot="1">
      <c r="A9" s="288" t="s">
        <v>62</v>
      </c>
      <c r="B9" s="286">
        <f>SUM(B5:B8)</f>
        <v>90310000</v>
      </c>
      <c r="C9" s="286">
        <f t="shared" ref="C9:F9" si="0">SUM(C5:C8)</f>
        <v>92880000</v>
      </c>
      <c r="D9" s="286">
        <f t="shared" si="0"/>
        <v>91720000</v>
      </c>
      <c r="E9" s="286">
        <f t="shared" si="0"/>
        <v>96110000</v>
      </c>
      <c r="F9" s="287">
        <f t="shared" si="0"/>
        <v>371020000</v>
      </c>
    </row>
    <row r="10" spans="1:6" s="3" customFormat="1" ht="41.25" customHeight="1" thickTop="1" thickBot="1">
      <c r="A10" s="50" t="s">
        <v>63</v>
      </c>
      <c r="B10" s="106">
        <v>1500000</v>
      </c>
      <c r="C10" s="56">
        <v>1500000</v>
      </c>
      <c r="D10" s="56">
        <v>1500000</v>
      </c>
      <c r="E10" s="56">
        <v>1500000</v>
      </c>
      <c r="F10" s="107">
        <f>SUM(B10:E10)</f>
        <v>6000000</v>
      </c>
    </row>
    <row r="11" spans="1:6" s="3" customFormat="1" ht="41.25" customHeight="1" thickBot="1">
      <c r="A11" s="51" t="s">
        <v>64</v>
      </c>
      <c r="B11" s="58">
        <v>1600000</v>
      </c>
      <c r="C11" s="58">
        <v>1200000</v>
      </c>
      <c r="D11" s="58">
        <v>1400000</v>
      </c>
      <c r="E11" s="58">
        <v>1800000</v>
      </c>
      <c r="F11" s="59">
        <f>SUM(B11:E11)</f>
        <v>6000000</v>
      </c>
    </row>
    <row r="12" spans="1:6" s="3" customFormat="1" ht="41.25" customHeight="1" thickBot="1">
      <c r="A12" s="52" t="s">
        <v>65</v>
      </c>
      <c r="B12" s="24">
        <v>2500000</v>
      </c>
      <c r="C12" s="24">
        <v>2500000</v>
      </c>
      <c r="D12" s="24">
        <v>2500000</v>
      </c>
      <c r="E12" s="24">
        <v>2500000</v>
      </c>
      <c r="F12" s="60">
        <f>SUM(B12:E12)</f>
        <v>10000000</v>
      </c>
    </row>
    <row r="13" spans="1:6" s="3" customFormat="1" ht="41.25" customHeight="1" thickBot="1">
      <c r="A13" s="53" t="s">
        <v>66</v>
      </c>
      <c r="B13" s="105">
        <v>108000000</v>
      </c>
      <c r="C13" s="61">
        <v>108000000</v>
      </c>
      <c r="D13" s="61">
        <v>108000000</v>
      </c>
      <c r="E13" s="61">
        <v>108000000</v>
      </c>
      <c r="F13" s="62">
        <f>SUM(B13:E13)</f>
        <v>432000000</v>
      </c>
    </row>
    <row r="14" spans="1:6" s="3" customFormat="1" ht="41.25" customHeight="1" thickTop="1" thickBot="1">
      <c r="A14" s="283" t="s">
        <v>5</v>
      </c>
      <c r="B14" s="284">
        <f>SUM(B10:B13)</f>
        <v>113600000</v>
      </c>
      <c r="C14" s="284">
        <f t="shared" ref="C14:F14" si="1">SUM(C10:C13)</f>
        <v>113200000</v>
      </c>
      <c r="D14" s="284">
        <f t="shared" si="1"/>
        <v>113400000</v>
      </c>
      <c r="E14" s="284">
        <f t="shared" si="1"/>
        <v>113800000</v>
      </c>
      <c r="F14" s="285">
        <f t="shared" si="1"/>
        <v>454000000</v>
      </c>
    </row>
    <row r="15" spans="1:6" s="3" customFormat="1" ht="41.25" customHeight="1" thickTop="1" thickBot="1">
      <c r="A15" s="286" t="s">
        <v>107</v>
      </c>
      <c r="B15" s="286">
        <f>B9+B14</f>
        <v>203910000</v>
      </c>
      <c r="C15" s="286">
        <f>C9+C14</f>
        <v>206080000</v>
      </c>
      <c r="D15" s="286">
        <f>D9+D14</f>
        <v>205120000</v>
      </c>
      <c r="E15" s="286">
        <f>E9+E14</f>
        <v>209910000</v>
      </c>
      <c r="F15" s="287">
        <f>F9+F14</f>
        <v>825020000</v>
      </c>
    </row>
    <row r="16" spans="1:6" ht="32.25" customHeight="1" thickTop="1">
      <c r="A16" s="108"/>
      <c r="B16" s="109"/>
      <c r="C16" s="109"/>
      <c r="D16" s="109"/>
      <c r="E16" s="109"/>
      <c r="F16" s="109"/>
    </row>
    <row r="17" spans="1:6" ht="32.25" customHeight="1">
      <c r="A17" s="108"/>
      <c r="B17" s="109"/>
      <c r="C17" s="109"/>
      <c r="D17" s="109"/>
      <c r="E17" s="109"/>
      <c r="F17" s="109"/>
    </row>
    <row r="18" spans="1:6" ht="32.25" customHeight="1">
      <c r="A18" s="108"/>
      <c r="B18" s="109"/>
      <c r="C18" s="109"/>
      <c r="D18" s="109"/>
      <c r="E18" s="109"/>
      <c r="F18" s="109"/>
    </row>
    <row r="19" spans="1:6" ht="32.25" customHeight="1">
      <c r="A19" s="108"/>
      <c r="B19" s="109"/>
      <c r="C19" s="109"/>
      <c r="D19" s="109"/>
      <c r="E19" s="109"/>
      <c r="F19" s="109"/>
    </row>
    <row r="20" spans="1:6" ht="32.25" customHeight="1">
      <c r="A20" s="108"/>
      <c r="B20" s="110"/>
      <c r="C20" s="110"/>
      <c r="D20" s="110"/>
      <c r="E20" s="110"/>
    </row>
    <row r="21" spans="1:6" ht="32.25" customHeight="1">
      <c r="A21" s="108"/>
      <c r="B21" s="65"/>
      <c r="C21" s="65"/>
      <c r="D21" s="65"/>
      <c r="E21" s="65"/>
    </row>
    <row r="22" spans="1:6" ht="27.6">
      <c r="A22" s="108"/>
      <c r="B22" s="112"/>
      <c r="C22" s="112"/>
      <c r="D22" s="112"/>
      <c r="E22" s="112"/>
      <c r="F22" s="111"/>
    </row>
  </sheetData>
  <mergeCells count="3">
    <mergeCell ref="A1:F1"/>
    <mergeCell ref="A2:F2"/>
    <mergeCell ref="A3:F3"/>
  </mergeCells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rightToLeft="1" workbookViewId="0">
      <selection activeCell="B6" sqref="B6"/>
    </sheetView>
  </sheetViews>
  <sheetFormatPr defaultColWidth="22.109375" defaultRowHeight="21.6"/>
  <cols>
    <col min="1" max="1" width="42.33203125" style="29" customWidth="1"/>
    <col min="2" max="2" width="11.44140625" style="29" bestFit="1" customWidth="1"/>
    <col min="3" max="3" width="22" style="2" bestFit="1" customWidth="1"/>
    <col min="4" max="7" width="20.6640625" style="2" customWidth="1"/>
    <col min="8" max="16384" width="22.109375" style="2"/>
  </cols>
  <sheetData>
    <row r="1" spans="1:11" s="6" customFormat="1" ht="30.75" customHeight="1" thickTop="1">
      <c r="A1" s="402" t="s">
        <v>29</v>
      </c>
      <c r="B1" s="403"/>
      <c r="C1" s="403"/>
      <c r="D1" s="403"/>
      <c r="E1" s="403"/>
      <c r="F1" s="403"/>
      <c r="G1" s="404"/>
    </row>
    <row r="2" spans="1:11" s="6" customFormat="1" ht="30.75" customHeight="1">
      <c r="A2" s="405" t="s">
        <v>212</v>
      </c>
      <c r="B2" s="406"/>
      <c r="C2" s="406"/>
      <c r="D2" s="406"/>
      <c r="E2" s="406"/>
      <c r="F2" s="406"/>
      <c r="G2" s="407"/>
    </row>
    <row r="3" spans="1:11" s="6" customFormat="1" ht="30.75" customHeight="1" thickBot="1">
      <c r="A3" s="408" t="s">
        <v>226</v>
      </c>
      <c r="B3" s="409"/>
      <c r="C3" s="409"/>
      <c r="D3" s="409"/>
      <c r="E3" s="409"/>
      <c r="F3" s="409"/>
      <c r="G3" s="410"/>
    </row>
    <row r="4" spans="1:11" s="22" customFormat="1" ht="34.5" customHeight="1" thickTop="1" thickBot="1">
      <c r="A4" s="113" t="s">
        <v>0</v>
      </c>
      <c r="B4" s="37"/>
      <c r="C4" s="36" t="s">
        <v>2</v>
      </c>
      <c r="D4" s="36" t="s">
        <v>20</v>
      </c>
      <c r="E4" s="36" t="s">
        <v>3</v>
      </c>
      <c r="F4" s="146" t="s">
        <v>4</v>
      </c>
      <c r="G4" s="38" t="s">
        <v>22</v>
      </c>
    </row>
    <row r="5" spans="1:11" s="3" customFormat="1" ht="41.25" customHeight="1" thickTop="1" thickBot="1">
      <c r="A5" s="116" t="s">
        <v>118</v>
      </c>
      <c r="B5" s="114" t="s">
        <v>119</v>
      </c>
      <c r="C5" s="114">
        <v>203910000</v>
      </c>
      <c r="D5" s="114">
        <v>206080000</v>
      </c>
      <c r="E5" s="114">
        <v>205120000</v>
      </c>
      <c r="F5" s="114">
        <v>209910000</v>
      </c>
      <c r="G5" s="115">
        <f>SUM(C5:F5)</f>
        <v>825020000</v>
      </c>
    </row>
    <row r="6" spans="1:11" ht="33" customHeight="1" thickTop="1" thickBot="1">
      <c r="A6" s="117" t="s">
        <v>108</v>
      </c>
      <c r="B6" s="118">
        <v>0.45</v>
      </c>
      <c r="C6" s="119">
        <f>'بودجه تولید'!C9</f>
        <v>490</v>
      </c>
      <c r="D6" s="119">
        <f>'بودجه تولید'!D9</f>
        <v>640</v>
      </c>
      <c r="E6" s="119">
        <f>'بودجه تولید'!E9</f>
        <v>640</v>
      </c>
      <c r="F6" s="119">
        <f>'بودجه تولید'!F9</f>
        <v>720</v>
      </c>
      <c r="G6" s="120">
        <f>SUM(C6:F6)</f>
        <v>2490</v>
      </c>
    </row>
    <row r="7" spans="1:11" ht="33" customHeight="1" thickBot="1">
      <c r="A7" s="125" t="s">
        <v>109</v>
      </c>
      <c r="B7" s="121">
        <v>0.6</v>
      </c>
      <c r="C7" s="126">
        <f>'بودجه تولید'!C16</f>
        <v>560</v>
      </c>
      <c r="D7" s="126">
        <f>'بودجه تولید'!D16</f>
        <v>630</v>
      </c>
      <c r="E7" s="126">
        <f>'بودجه تولید'!E16</f>
        <v>660</v>
      </c>
      <c r="F7" s="126">
        <f>'بودجه تولید'!F16</f>
        <v>760</v>
      </c>
      <c r="G7" s="127">
        <f t="shared" ref="G7:G9" si="0">SUM(C7:F7)</f>
        <v>2610</v>
      </c>
    </row>
    <row r="8" spans="1:11" ht="33" customHeight="1" thickBot="1">
      <c r="A8" s="132" t="s">
        <v>110</v>
      </c>
      <c r="B8" s="131">
        <v>0.4</v>
      </c>
      <c r="C8" s="16">
        <f>'بودجه تولید'!C23</f>
        <v>440</v>
      </c>
      <c r="D8" s="16">
        <f>'بودجه تولید'!D23</f>
        <v>540</v>
      </c>
      <c r="E8" s="16">
        <f>'بودجه تولید'!E23</f>
        <v>570</v>
      </c>
      <c r="F8" s="16">
        <f>'بودجه تولید'!F23</f>
        <v>640</v>
      </c>
      <c r="G8" s="60">
        <f t="shared" si="0"/>
        <v>2190</v>
      </c>
    </row>
    <row r="9" spans="1:11" ht="33" customHeight="1" thickBot="1">
      <c r="A9" s="133" t="s">
        <v>111</v>
      </c>
      <c r="B9" s="134">
        <v>0.5</v>
      </c>
      <c r="C9" s="135">
        <f>'بودجه تولید'!C30</f>
        <v>290</v>
      </c>
      <c r="D9" s="135">
        <f>'بودجه تولید'!D30</f>
        <v>410</v>
      </c>
      <c r="E9" s="135">
        <f>'بودجه تولید'!E30</f>
        <v>410</v>
      </c>
      <c r="F9" s="135">
        <f>'بودجه تولید'!F30</f>
        <v>490</v>
      </c>
      <c r="G9" s="136">
        <f t="shared" si="0"/>
        <v>1600</v>
      </c>
    </row>
    <row r="10" spans="1:11" ht="33" customHeight="1" thickTop="1" thickBot="1">
      <c r="A10" s="138" t="s">
        <v>114</v>
      </c>
      <c r="B10" s="139"/>
      <c r="C10" s="140">
        <f>C6*$B$6</f>
        <v>220.5</v>
      </c>
      <c r="D10" s="140">
        <f t="shared" ref="D10:F10" si="1">D6*$B$6</f>
        <v>288</v>
      </c>
      <c r="E10" s="140">
        <f t="shared" si="1"/>
        <v>288</v>
      </c>
      <c r="F10" s="140">
        <f t="shared" si="1"/>
        <v>324</v>
      </c>
      <c r="G10" s="141">
        <f>SUM(C10:F10)</f>
        <v>1120.5</v>
      </c>
    </row>
    <row r="11" spans="1:11" ht="33" customHeight="1" thickBot="1">
      <c r="A11" s="122" t="s">
        <v>115</v>
      </c>
      <c r="B11" s="118"/>
      <c r="C11" s="123">
        <f>C7*$B$7</f>
        <v>336</v>
      </c>
      <c r="D11" s="123">
        <f t="shared" ref="D11:F11" si="2">D7*$B$7</f>
        <v>378</v>
      </c>
      <c r="E11" s="123">
        <f t="shared" si="2"/>
        <v>396</v>
      </c>
      <c r="F11" s="123">
        <f t="shared" si="2"/>
        <v>456</v>
      </c>
      <c r="G11" s="124">
        <f t="shared" ref="G11:G13" si="3">SUM(C11:F11)</f>
        <v>1566</v>
      </c>
    </row>
    <row r="12" spans="1:11" ht="33" customHeight="1" thickBot="1">
      <c r="A12" s="125" t="s">
        <v>116</v>
      </c>
      <c r="B12" s="121"/>
      <c r="C12" s="126">
        <f>C8*$B$8</f>
        <v>176</v>
      </c>
      <c r="D12" s="126">
        <f t="shared" ref="D12:F12" si="4">D8*$B$8</f>
        <v>216</v>
      </c>
      <c r="E12" s="126">
        <f t="shared" si="4"/>
        <v>228</v>
      </c>
      <c r="F12" s="126">
        <f t="shared" si="4"/>
        <v>256</v>
      </c>
      <c r="G12" s="127">
        <f t="shared" si="3"/>
        <v>876</v>
      </c>
    </row>
    <row r="13" spans="1:11" ht="33" customHeight="1" thickBot="1">
      <c r="A13" s="132" t="s">
        <v>117</v>
      </c>
      <c r="B13" s="131"/>
      <c r="C13" s="16">
        <f>C9*$B$9</f>
        <v>145</v>
      </c>
      <c r="D13" s="16">
        <f t="shared" ref="D13:F13" si="5">D9*$B$9</f>
        <v>205</v>
      </c>
      <c r="E13" s="16">
        <f t="shared" si="5"/>
        <v>205</v>
      </c>
      <c r="F13" s="16">
        <f t="shared" si="5"/>
        <v>245</v>
      </c>
      <c r="G13" s="60">
        <f t="shared" si="3"/>
        <v>800</v>
      </c>
    </row>
    <row r="14" spans="1:11" ht="33" customHeight="1" thickBot="1">
      <c r="A14" s="128" t="s">
        <v>112</v>
      </c>
      <c r="B14" s="137"/>
      <c r="C14" s="129">
        <f>C13+C12+C11+C10</f>
        <v>877.5</v>
      </c>
      <c r="D14" s="129">
        <f t="shared" ref="D14:G14" si="6">D13+D12+D11+D10</f>
        <v>1087</v>
      </c>
      <c r="E14" s="129">
        <f t="shared" si="6"/>
        <v>1117</v>
      </c>
      <c r="F14" s="129">
        <f t="shared" si="6"/>
        <v>1281</v>
      </c>
      <c r="G14" s="130">
        <f t="shared" si="6"/>
        <v>4362.5</v>
      </c>
    </row>
    <row r="15" spans="1:11" s="6" customFormat="1" ht="38.25" customHeight="1" thickTop="1" thickBot="1">
      <c r="A15" s="117" t="s">
        <v>120</v>
      </c>
      <c r="B15" s="142"/>
      <c r="C15" s="343">
        <f>C10/$C$14*$C$5</f>
        <v>51238923.076923072</v>
      </c>
      <c r="D15" s="343">
        <f>D10/$D$14*$D$5</f>
        <v>54600772.769089237</v>
      </c>
      <c r="E15" s="343">
        <f>E10/$E$14*$E$5</f>
        <v>52886803.939122654</v>
      </c>
      <c r="F15" s="343">
        <f>F10/$F$14*$F$5</f>
        <v>53091990.632318504</v>
      </c>
      <c r="G15" s="344">
        <f>SUM(C15:F15)</f>
        <v>211818490.41745347</v>
      </c>
    </row>
    <row r="16" spans="1:11" s="6" customFormat="1" ht="38.25" customHeight="1" thickBot="1">
      <c r="A16" s="125" t="s">
        <v>121</v>
      </c>
      <c r="B16" s="143"/>
      <c r="C16" s="345">
        <f>C11/$C$14*$C$5</f>
        <v>78078358.974358976</v>
      </c>
      <c r="D16" s="345">
        <f>D11/$D$14*$D$5</f>
        <v>71663514.259429619</v>
      </c>
      <c r="E16" s="345">
        <f>E11/$E$14*$E$5</f>
        <v>72719355.416293636</v>
      </c>
      <c r="F16" s="345">
        <f>F11/$F$14*$F$5</f>
        <v>74722060.889929742</v>
      </c>
      <c r="G16" s="346">
        <f t="shared" ref="G16:G18" si="7">SUM(C16:F16)</f>
        <v>297183289.540012</v>
      </c>
      <c r="H16" s="295"/>
      <c r="I16" s="295"/>
      <c r="J16" s="295"/>
      <c r="K16" s="295"/>
    </row>
    <row r="17" spans="1:11" s="6" customFormat="1" ht="38.25" customHeight="1" thickBot="1">
      <c r="A17" s="132" t="s">
        <v>123</v>
      </c>
      <c r="B17" s="144"/>
      <c r="C17" s="347">
        <f>C12/$C$14*$C$5</f>
        <v>40898188.034188032</v>
      </c>
      <c r="D17" s="347">
        <f>D12/$D$14*$D$5</f>
        <v>40950579.576816924</v>
      </c>
      <c r="E17" s="347">
        <f>E12/$E$14*$E$5</f>
        <v>41868719.785138763</v>
      </c>
      <c r="F17" s="347">
        <f>F12/$F$14*$F$5</f>
        <v>41949227.166276343</v>
      </c>
      <c r="G17" s="348">
        <f t="shared" si="7"/>
        <v>165666714.56242004</v>
      </c>
      <c r="H17" s="295"/>
      <c r="I17" s="295"/>
      <c r="J17" s="295"/>
      <c r="K17" s="295"/>
    </row>
    <row r="18" spans="1:11" s="6" customFormat="1" ht="38.25" customHeight="1" thickBot="1">
      <c r="A18" s="128" t="s">
        <v>122</v>
      </c>
      <c r="B18" s="145"/>
      <c r="C18" s="349">
        <f>C13/$C$14*$C$5</f>
        <v>33694529.914529912</v>
      </c>
      <c r="D18" s="349">
        <f>D13/$D$14*$D$5</f>
        <v>38865133.394664213</v>
      </c>
      <c r="E18" s="349">
        <f>E13/$E$14*$E$5</f>
        <v>37645120.859444939</v>
      </c>
      <c r="F18" s="349">
        <f>F13/$F$14*$F$5</f>
        <v>40146721.311475411</v>
      </c>
      <c r="G18" s="350">
        <f t="shared" si="7"/>
        <v>150351505.48011446</v>
      </c>
      <c r="H18" s="295"/>
      <c r="I18" s="295"/>
      <c r="J18" s="295"/>
      <c r="K18" s="295"/>
    </row>
    <row r="19" spans="1:11" ht="22.2" thickTop="1"/>
  </sheetData>
  <mergeCells count="3">
    <mergeCell ref="A1:G1"/>
    <mergeCell ref="A2:G2"/>
    <mergeCell ref="A3:G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فهرست </vt:lpstr>
      <vt:lpstr>نمودار بودجه جامع</vt:lpstr>
      <vt:lpstr> بودجه فروش سال </vt:lpstr>
      <vt:lpstr>بودجه فروش فصلی</vt:lpstr>
      <vt:lpstr>بودجه تولید</vt:lpstr>
      <vt:lpstr>بودجه خرید مواد اولیه </vt:lpstr>
      <vt:lpstr>بودجه دستمزد مستقیم</vt:lpstr>
      <vt:lpstr>بودجه سربار ساخت</vt:lpstr>
      <vt:lpstr>تسهیم بودجه سربار ساخت </vt:lpstr>
      <vt:lpstr>بودجه بهای تمام شده </vt:lpstr>
      <vt:lpstr>بودجه حاشیه سود محصولات</vt:lpstr>
      <vt:lpstr>بودجه هزینه های اداری و فروش</vt:lpstr>
      <vt:lpstr>تسهیم هزینه های اداری و فروش</vt:lpstr>
      <vt:lpstr>بودجه سود و زیان</vt:lpstr>
      <vt:lpstr>بودجه مخارج سرمایه ای</vt:lpstr>
      <vt:lpstr>بودجه نقدی</vt:lpstr>
      <vt:lpstr>ترازنامه بودجه شده</vt:lpstr>
      <vt:lpstr>صورت گردش وجوه نقد</vt:lpstr>
    </vt:vector>
  </TitlesOfParts>
  <Company>Su.co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 computer</dc:creator>
  <cp:lastModifiedBy>reza jalali-2</cp:lastModifiedBy>
  <cp:lastPrinted>2001-05-30T15:14:35Z</cp:lastPrinted>
  <dcterms:created xsi:type="dcterms:W3CDTF">2005-05-30T16:14:00Z</dcterms:created>
  <dcterms:modified xsi:type="dcterms:W3CDTF">2022-08-31T03:00:05Z</dcterms:modified>
</cp:coreProperties>
</file>