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580" tabRatio="903" firstSheet="2" activeTab="8"/>
  </bookViews>
  <sheets>
    <sheet name="ورود اطلاعات اولیه" sheetId="1" r:id="rId1"/>
    <sheet name="روش ماهانه 1403" sheetId="2" r:id="rId2"/>
    <sheet name="پلکان روش ماهانه1403" sheetId="3" r:id="rId3"/>
    <sheet name=" پلکان روش تعدیلی1403" sheetId="4" r:id="rId4"/>
    <sheet name=" پلکان روش ماهانه1402 " sheetId="5" r:id="rId5"/>
    <sheet name="پلکان1402 روش تعدیلی" sheetId="6" r:id="rId6"/>
    <sheet name="جدول مالیاتی ق بودجه1403" sheetId="7" r:id="rId7"/>
    <sheet name="روش محاسبه(مثال)" sheetId="8" r:id="rId8"/>
    <sheet name="Sheet1" sheetId="9" r:id="rId9"/>
  </sheets>
  <definedNames>
    <definedName name="_xlfn._FV" hidden="1">#NAME?</definedName>
    <definedName name="_xlfn.IFS" hidden="1">#NAME?</definedName>
    <definedName name="_xlfn.LET" hidden="1">#NAME?</definedName>
    <definedName name="_xlfn.SUMIFS" hidden="1">#NAME?</definedName>
    <definedName name="month">#REF!</definedName>
    <definedName name="_xlnm.Print_Area" localSheetId="1">'روش ماهانه 1403'!$A$1:$E$31</definedName>
  </definedNames>
  <calcPr fullCalcOnLoad="1"/>
</workbook>
</file>

<file path=xl/sharedStrings.xml><?xml version="1.0" encoding="utf-8"?>
<sst xmlns="http://schemas.openxmlformats.org/spreadsheetml/2006/main" count="326" uniqueCount="169">
  <si>
    <t>ريال</t>
  </si>
  <si>
    <t>ماهانه</t>
  </si>
  <si>
    <t>سالانه</t>
  </si>
  <si>
    <t>سال مالیاتی 1397</t>
  </si>
  <si>
    <t>سال مالیاتی 1398</t>
  </si>
  <si>
    <t>سال مالیاتی 1399</t>
  </si>
  <si>
    <t>خرداد</t>
  </si>
  <si>
    <t>مرداد</t>
  </si>
  <si>
    <t>مهر</t>
  </si>
  <si>
    <t>آبان</t>
  </si>
  <si>
    <t>آذر</t>
  </si>
  <si>
    <t>بهمن</t>
  </si>
  <si>
    <t>اسفند</t>
  </si>
  <si>
    <t xml:space="preserve">درآمد حقوق  از صفر تا </t>
  </si>
  <si>
    <t xml:space="preserve">در سال </t>
  </si>
  <si>
    <t>صفر</t>
  </si>
  <si>
    <t>محاسبات</t>
  </si>
  <si>
    <t>تعداد روز گذشته از سال</t>
  </si>
  <si>
    <t>ماليات حقوق مستمر</t>
  </si>
  <si>
    <t>ماليات حقوق غير مستمر</t>
  </si>
  <si>
    <t>نرخ محاسبه</t>
  </si>
  <si>
    <t>تهيه كننده: محمدرضا تيموري كارشناس حقوق و دستمزد و كارشناس رسمي دادگستري             ايميل: reza63esf@yahoo.com</t>
  </si>
  <si>
    <t>مبالغ  به  ريال</t>
  </si>
  <si>
    <t>تا مبلغ بعدي يعني پله اول تا</t>
  </si>
  <si>
    <t>تا مبلغ بعدي يعني پله دوم تا</t>
  </si>
  <si>
    <t>تا مبلغ بعدي يعني پله سوم تا</t>
  </si>
  <si>
    <t>جمــــــــــــع</t>
  </si>
  <si>
    <t>جمع ماليات هاي محاسبه شده (مستر و غير مستمر) آقاي X</t>
  </si>
  <si>
    <t xml:space="preserve"> ماليات هاي پرداخت شده  توسط آقاي X در ماه يا ماه هاي قبل </t>
  </si>
  <si>
    <t>محاسبه ماليات حقوق غير مستمر آقاي X        (طبق جدول ماليات)</t>
  </si>
  <si>
    <t>جدول درآمد مستمر آقاي X</t>
  </si>
  <si>
    <t>جدول درآمد غيرمستر آقاي X</t>
  </si>
  <si>
    <r>
      <t xml:space="preserve">درآمد حقوق </t>
    </r>
    <r>
      <rPr>
        <b/>
        <sz val="13"/>
        <color indexed="8"/>
        <rFont val="B Nazanin"/>
        <family val="0"/>
      </rPr>
      <t>ماهانه روش مستقیم (مبلغ به ريال)</t>
    </r>
  </si>
  <si>
    <t>سال مالیاتی 1400</t>
  </si>
  <si>
    <t>سال مالیاتی 1401</t>
  </si>
  <si>
    <t>درآمد مستمر</t>
  </si>
  <si>
    <t>درآمد غیرمستمر</t>
  </si>
  <si>
    <t>جدول مالیات حقوق سال 1401</t>
  </si>
  <si>
    <t xml:space="preserve">طبق قانون بودجه  </t>
  </si>
  <si>
    <t>تبدیل درآمدمستمر به سال</t>
  </si>
  <si>
    <t>جمع مستمر و غیرمستمر</t>
  </si>
  <si>
    <t>چیدمان پلکان درآمد غیرمستمر</t>
  </si>
  <si>
    <t>چیدمان پلکان درآمد مستمر</t>
  </si>
  <si>
    <t>چیدمان پلکان</t>
  </si>
  <si>
    <t>چینش پلکان مستمر</t>
  </si>
  <si>
    <t>چینش پلکان غیرمستمر</t>
  </si>
  <si>
    <t>محاسبه مالیات مستمر</t>
  </si>
  <si>
    <t>محاسبه مالیات غیرمستمر</t>
  </si>
  <si>
    <t>جمـــــــــع</t>
  </si>
  <si>
    <t>ردیف پلکان</t>
  </si>
  <si>
    <t>مبلغ درآمدغیرمستمر به ریال</t>
  </si>
  <si>
    <t>تبدیل مالیات محاسبه شده مستمر به ماه</t>
  </si>
  <si>
    <t>کسر می گردد: مالیات محاسبه شده تاپایان ماه قبل</t>
  </si>
  <si>
    <t>جمع می گردد مالیات مستمر+مالیات غیرمستمر</t>
  </si>
  <si>
    <t>درصد محاسبه مالیات</t>
  </si>
  <si>
    <t>ماهانه -ریال</t>
  </si>
  <si>
    <t>سالانه-ریال</t>
  </si>
  <si>
    <t>پله</t>
  </si>
  <si>
    <t>محاسبه مالیات ماهانه</t>
  </si>
  <si>
    <t>محاسبه مالیات سالانه</t>
  </si>
  <si>
    <t>جمــع مالیات ماهانه/سالانه</t>
  </si>
  <si>
    <t>چینش پلکان درآمد  ماهانه</t>
  </si>
  <si>
    <t>چینش پلکان درآمد سالانه</t>
  </si>
  <si>
    <t>تا مبلغ بعدي يعني پله چهارم تامبلغ n به بالا</t>
  </si>
  <si>
    <t>مبلغ درآمد مستمرمشمول به ریال</t>
  </si>
  <si>
    <t>ماليات پرداخت شده تا پايان ماه قبل(ارديبهشت)</t>
  </si>
  <si>
    <t>تا مبلغ بعدي يعني پله چهارم تا n</t>
  </si>
  <si>
    <t>93روز</t>
  </si>
  <si>
    <r>
      <t xml:space="preserve">ماليات قابل كسر از حقوق </t>
    </r>
    <r>
      <rPr>
        <b/>
        <sz val="13"/>
        <color indexed="8"/>
        <rFont val="B Nazanin"/>
        <family val="0"/>
      </rPr>
      <t>ماهانه سال1398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</si>
  <si>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ماهانه سال1397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</si>
  <si>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سالانه سال 1397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</si>
  <si>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سالانه سال 1398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</si>
  <si>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ماهانه سال1399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</si>
  <si>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ماهانه سال1400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</si>
  <si>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سالانه سال 1400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</si>
  <si>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سالانه سال 1399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</si>
  <si>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ماهانه سال1401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</si>
  <si>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سالانه سال 1401</t>
    </r>
  </si>
  <si>
    <t>سال مالیاتی 1402</t>
  </si>
  <si>
    <r>
      <t xml:space="preserve">ماليات قابل كسر از حقوق </t>
    </r>
    <r>
      <rPr>
        <b/>
        <sz val="13"/>
        <color indexed="8"/>
        <rFont val="B Nazanin"/>
        <family val="0"/>
      </rPr>
      <t>ماهانه سال1402</t>
    </r>
  </si>
  <si>
    <r>
      <t xml:space="preserve">ماليات قابل كسر از حقوق </t>
    </r>
    <r>
      <rPr>
        <b/>
        <sz val="13"/>
        <color indexed="8"/>
        <rFont val="B Nazanin"/>
        <family val="0"/>
      </rPr>
      <t>سالانه سال 1402</t>
    </r>
  </si>
  <si>
    <t>جدول پلکانی محاسبه مالیات بر درآمد حقوق  سال 1402 مطابق قانون بودجه 1402</t>
  </si>
  <si>
    <t>محاسبات مالیات بر درآمد حقوق براساس جدول پلکانی قانون بودجه سال1402</t>
  </si>
  <si>
    <t>درصد هر پلکان</t>
  </si>
  <si>
    <r>
      <t xml:space="preserve">تهيه كننده:محمدرضاتيموري كارشناس حقوق ودستمزد وكارشناس رسمي دادگستري        </t>
    </r>
    <r>
      <rPr>
        <b/>
        <sz val="11"/>
        <color indexed="8"/>
        <rFont val="Arial"/>
        <family val="2"/>
      </rPr>
      <t>reza63esf@yahoo.com</t>
    </r>
  </si>
  <si>
    <t>محاسبه پلکانی مالیات بردرآمد حقوق  سال 1402 وچینش هر پلکان به روش ماهانه مستقیم</t>
  </si>
  <si>
    <t>پلکان</t>
  </si>
  <si>
    <t>شرح</t>
  </si>
  <si>
    <t>محاسبات مالیات بر درآمد حقوق براساس جدول پلکانی  به روش ماهانه -مطابق قانون بودجه سال1402</t>
  </si>
  <si>
    <t>مالیات محاسبه شده بدون اعمال هرگونه معافیت(بجز ماده 84 ق م م 100/000/000 ريال) تا پایان ماه قبل</t>
  </si>
  <si>
    <t>محاسبه پلکانی مالیات حقوق  سال 1402 وچینش هر پلکان به روش تعدیلی طی سال (به تفکیک درآمدمستمرمشمول و درآمدغیرمستمرمشمول)</t>
  </si>
  <si>
    <t>حقوق ومزایای ماهانه مشمول مالیات حقوق</t>
  </si>
  <si>
    <t>فروردین</t>
  </si>
  <si>
    <t>اردیبهشت</t>
  </si>
  <si>
    <t>تیر</t>
  </si>
  <si>
    <t>شهریور</t>
  </si>
  <si>
    <t>دی</t>
  </si>
  <si>
    <t>تعداد روز</t>
  </si>
  <si>
    <t>ماه</t>
  </si>
  <si>
    <t>تعداد روز گذشته از سال تاپایان ماه مورد نظر</t>
  </si>
  <si>
    <r>
      <t xml:space="preserve">حقوق ومزایای مستمر مشمول مالیات حقوق </t>
    </r>
    <r>
      <rPr>
        <u val="single"/>
        <sz val="11"/>
        <color indexed="8"/>
        <rFont val="B Titr"/>
        <family val="0"/>
      </rPr>
      <t>تا پایان ماه مورد نظر</t>
    </r>
  </si>
  <si>
    <r>
      <t xml:space="preserve">حقوق ومزایای غیرمستمر مشمول مالیات حقوق </t>
    </r>
    <r>
      <rPr>
        <u val="single"/>
        <sz val="11"/>
        <color indexed="8"/>
        <rFont val="B Titr"/>
        <family val="0"/>
      </rPr>
      <t>تا پایان ماه مورد نظر</t>
    </r>
  </si>
  <si>
    <t>تهيه كننده:محمدرضاتيموري كارشناس حقوق ودستمزد وكارشناس رسمي دادگستري        reza63esf@yahoo.com</t>
  </si>
  <si>
    <t>مالیات قابل پرداخت  این ماه -قبل از اعمال معافیت مناطق کمتر توسعه یافته</t>
  </si>
  <si>
    <t>تعداد روز سال 1402</t>
  </si>
  <si>
    <r>
      <t xml:space="preserve">مالیات پرداخت شده یا محاسبه شده </t>
    </r>
    <r>
      <rPr>
        <u val="single"/>
        <sz val="11"/>
        <color indexed="8"/>
        <rFont val="B Titr"/>
        <family val="0"/>
      </rPr>
      <t>تا پایان ماه قبل</t>
    </r>
    <r>
      <rPr>
        <sz val="11"/>
        <color indexed="8"/>
        <rFont val="B Titr"/>
        <family val="0"/>
      </rPr>
      <t>(بدون درنظر گرفتن معافیت 50 درصدی مناطق کمتر توسعه یافته)</t>
    </r>
  </si>
  <si>
    <r>
      <t xml:space="preserve">مبلغ درآمد </t>
    </r>
    <r>
      <rPr>
        <b/>
        <sz val="12"/>
        <color indexed="8"/>
        <rFont val="B Titr"/>
        <family val="0"/>
      </rPr>
      <t>مشمول مالیات حقوق -ریال ماهانه</t>
    </r>
  </si>
  <si>
    <t>محاسبه ماليات بر درآمد حقوق كاركنان سازمانهاي دولتي وخصوصي به  روش ماهانه مستقيم براي يك ماه و كل سال</t>
  </si>
  <si>
    <t>انتخاب ماه مورد نظر از لیست کشویی</t>
  </si>
  <si>
    <t>تعداد روز گذشته از سال1402</t>
  </si>
  <si>
    <t>مستمر</t>
  </si>
  <si>
    <t>غیرمستمر</t>
  </si>
  <si>
    <t>جدول مالیات حقوق سال 1402</t>
  </si>
  <si>
    <t>در صورت اضاف شدن پلکان35 درصد فرمول به جای خود برگردانده شود.</t>
  </si>
  <si>
    <t>جمـــــــع</t>
  </si>
  <si>
    <t>مالیات قابل پرداخت  این ماه -بعد از اعمال معافیت 50% مناطق کمتر توسعه یافته</t>
  </si>
  <si>
    <t>ریال</t>
  </si>
  <si>
    <t>تهيه كننده: محمدرضاتيموري كارشناس حقوق ودستمزد وكارشناس رسمي دادگستري        reza63esf@yahoo.com</t>
  </si>
  <si>
    <t xml:space="preserve">تا مبلغ بعدي يعني مابه تفاوت پله دوم وسوم </t>
  </si>
  <si>
    <t>تا مبلغ بعدي يعني مابه تفاوت پله اول ودوم</t>
  </si>
  <si>
    <t xml:space="preserve">تا مبلغ بعدي يعني مابه تفاوت پله سوم وچهارم </t>
  </si>
  <si>
    <t xml:space="preserve">تا مبلغ بعدي يعني مابه تفاوت پله چهارم  تا مبلغ N ام </t>
  </si>
  <si>
    <t>ردیف/پله</t>
  </si>
  <si>
    <t>اول</t>
  </si>
  <si>
    <t>دوم</t>
  </si>
  <si>
    <t>سوم</t>
  </si>
  <si>
    <t>چهارم</t>
  </si>
  <si>
    <t>پنجم</t>
  </si>
  <si>
    <t xml:space="preserve">درآمد حقوق مشمول مالیات   از صفر تا </t>
  </si>
  <si>
    <t>سال مالیاتی 1403</t>
  </si>
  <si>
    <t>مالیات قابل کسر از حقوق ماهانه سال 1403</t>
  </si>
  <si>
    <t>ماليات قابل كسر از حقوق سالانه سال 1403</t>
  </si>
  <si>
    <t>مالیات حقوق1397</t>
  </si>
  <si>
    <t>مالیات حقوق1398</t>
  </si>
  <si>
    <t>مالیات حقوق1399</t>
  </si>
  <si>
    <t>مالیات حقوق1400</t>
  </si>
  <si>
    <t>مالیات حقوق1401</t>
  </si>
  <si>
    <t>مالیات حقوق1402</t>
  </si>
  <si>
    <t>مالیات حقوق1403</t>
  </si>
  <si>
    <t>جدول مالیات حقوق سال 1403</t>
  </si>
  <si>
    <t>جدول پلکانی محاسبه مالیات بر درآمد حقوق  سال 1403 مطابق قانون بودجه 1403</t>
  </si>
  <si>
    <t>محاسبات مالیات بر درآمد حقوق براساس جدول پلکانی  به روش ماهانه -مطابق قانون بودجه سال1403</t>
  </si>
  <si>
    <t>محاسبه پلکانی مالیات بردرآمد حقوق  سال 1403 وچینش هر پلکان به روش ماهانه مستقیم</t>
  </si>
  <si>
    <t>جمع درآمد مشمول</t>
  </si>
  <si>
    <t>محاسبه پلکانی مالیات حقوق  سال 1403 وچینش هر پلکان به روش تعدیلی طی سال (به تفکیک درآمدمستمرمشمول و درآمدغیرمستمرمشمول)</t>
  </si>
  <si>
    <t>تعداد روز گذشته از سال1403</t>
  </si>
  <si>
    <r>
      <t xml:space="preserve">محل ورود </t>
    </r>
    <r>
      <rPr>
        <sz val="15"/>
        <color indexed="8"/>
        <rFont val="B Titr"/>
        <family val="0"/>
      </rPr>
      <t xml:space="preserve"> اطلاعات اولیه</t>
    </r>
    <r>
      <rPr>
        <i/>
        <sz val="15"/>
        <color indexed="8"/>
        <rFont val="B Titr"/>
        <family val="0"/>
      </rPr>
      <t xml:space="preserve"> </t>
    </r>
    <r>
      <rPr>
        <sz val="15"/>
        <color indexed="8"/>
        <rFont val="B Titr"/>
        <family val="0"/>
      </rPr>
      <t xml:space="preserve"> محاسبه مالیات به دو روش ماهانه وتعدیلی برای سال1403</t>
    </r>
  </si>
  <si>
    <t>جدول ماليات حقوق سال 1403 طبق قانون بودجه سال 1403</t>
  </si>
  <si>
    <t>تعداد روز سال 1403</t>
  </si>
  <si>
    <t>محاسبات مالیات بر درآمد حقوق براساس جدول پلکانی قانون بودجه سال1403</t>
  </si>
  <si>
    <t>مالیات محاسبه شده بدون اعمال هرگونه معافیت(بجز ماده 84 ق م م 120/000/000 ريال) تا پایان ماه قبل</t>
  </si>
  <si>
    <t>اطلاعات اولیه</t>
  </si>
  <si>
    <t>نكته: براساس ماده ۹۲ قانون ماليات هاي مستقيم - پنجاه‌درصد (۵۰%) مالیات حقــوق کارکنان شاغل در مناطق کمــتر توسعه یافته طبق فهرست سازمان مدیریت و برنامه‌ریزی کــشور بخشوده می‌شود مانند كاركــنان شاغل در خـورموج -عسلويه-خارگ-لاوان جاسك ابوموسي پاوه سرپل ذهاب شادگان ايذه مسجد سليمان اميديه خرمشهر هفتگل چابهار خاش بيله سوار اردل كوهرنگ فراشبند مهر خنج رستم وراوی و...</t>
  </si>
  <si>
    <r>
      <t xml:space="preserve">درآمد حقوق </t>
    </r>
    <r>
      <rPr>
        <b/>
        <sz val="13"/>
        <color indexed="8"/>
        <rFont val="B Nazanin"/>
        <family val="0"/>
      </rPr>
      <t>سالانه روش مستقیم (مبلغ به ريال)</t>
    </r>
  </si>
  <si>
    <r>
      <t xml:space="preserve">ورود اطلاعات اولیه محاسبه مالیات حقوق به </t>
    </r>
    <r>
      <rPr>
        <u val="single"/>
        <sz val="14"/>
        <color indexed="8"/>
        <rFont val="B Titr"/>
        <family val="0"/>
      </rPr>
      <t>روش تعدیلی</t>
    </r>
    <r>
      <rPr>
        <sz val="14"/>
        <color indexed="8"/>
        <rFont val="B Titr"/>
        <family val="0"/>
      </rPr>
      <t xml:space="preserve"> طی سال</t>
    </r>
  </si>
  <si>
    <r>
      <t xml:space="preserve">ورود اطلاعات اولیه محاسبه مالیات حقوق به </t>
    </r>
    <r>
      <rPr>
        <b/>
        <u val="single"/>
        <sz val="14"/>
        <color indexed="8"/>
        <rFont val="B Titr"/>
        <family val="0"/>
      </rPr>
      <t>روش ماهانه</t>
    </r>
    <r>
      <rPr>
        <sz val="14"/>
        <color indexed="8"/>
        <rFont val="B Titr"/>
        <family val="0"/>
      </rPr>
      <t xml:space="preserve"> مستقیم </t>
    </r>
  </si>
  <si>
    <r>
      <rPr>
        <b/>
        <sz val="11"/>
        <color indexed="8"/>
        <rFont val="B Nazanin"/>
        <family val="0"/>
      </rPr>
      <t>مثال</t>
    </r>
    <r>
      <rPr>
        <sz val="11"/>
        <color indexed="8"/>
        <rFont val="B Nazanin"/>
        <family val="0"/>
      </rPr>
      <t xml:space="preserve">: اطلاعات اوليه  ماليات حقوق خرداد1403 آقاي X </t>
    </r>
  </si>
  <si>
    <t>حقوق و مزاياي مستمرمشمول از اول سال تا پايان خرداد1403</t>
  </si>
  <si>
    <t>حقوق و مزاياي غير مستمرمشمول از اول سال تا پايان خرداد 1403</t>
  </si>
  <si>
    <t>450/000/000*366/93</t>
  </si>
  <si>
    <t>محاسبه درآمد مستمر در كل سال1403</t>
  </si>
  <si>
    <t>محاسبه ماليات مستمر آقاي X در كل سال1403        (طبق جدول ماليات)</t>
  </si>
  <si>
    <t>محاسبه ماليات براي 93روز (يعني فروردين و ارديبهشت وخرداد) از سال 1403 آقاي X</t>
  </si>
  <si>
    <t xml:space="preserve">بدست آوردن ماليات حقوق خرداد ماه 1403 آقاي X </t>
  </si>
  <si>
    <t>با توجه به اينكه محاسبه ماليات حقوق به روش صحيح و دقيق آن مي بايست بصورت سالانه (تعديلي سالانه) انجام گردد مثال زير ارائه مي گردد تا حقوق بگيران  و دانشجویان محترم بيشتر با اين مقوله آشنا گردند.</t>
  </si>
  <si>
    <t>جدول ماليات حقوق سال 1403 آقاي X درپايان خرداد 1403</t>
  </si>
  <si>
    <t>366روز</t>
  </si>
  <si>
    <t xml:space="preserve">                   مزایای غیرنقدی تا مبلغ 240/000/000 ریال معاف و مابقی مشمول مالیات حقوق می باشد.</t>
  </si>
  <si>
    <r>
      <rPr>
        <b/>
        <sz val="10"/>
        <color indexed="8"/>
        <rFont val="B Nazanin"/>
        <family val="0"/>
      </rPr>
      <t>راهنمایی</t>
    </r>
    <r>
      <rPr>
        <b/>
        <sz val="8"/>
        <color indexed="8"/>
        <rFont val="B Nazanin"/>
        <family val="0"/>
      </rPr>
      <t>:در سال1403 مبلغ عیدی و پاداش پایان سال تامبلغ 120/000/000 ریال معاف ازمالیات حقوق می باشد ومابقی مشمول مالیات حقوق است.لذا فقط مبلغ مشمول درمحاسبات درنظرگرفته شود.</t>
    </r>
  </si>
</sst>
</file>

<file path=xl/styles.xml><?xml version="1.0" encoding="utf-8"?>
<styleSheet xmlns="http://schemas.openxmlformats.org/spreadsheetml/2006/main">
  <numFmts count="17">
    <numFmt numFmtId="5" formatCode="&quot;ريال&quot;#,##0_);\(&quot;ريال&quot;#,##0\)"/>
    <numFmt numFmtId="6" formatCode="&quot;ريال&quot;#,##0_);[Red]\(&quot;ريال&quot;#,##0\)"/>
    <numFmt numFmtId="7" formatCode="&quot;ريال&quot;#,##0.00_);\(&quot;ريال&quot;#,##0.00\)"/>
    <numFmt numFmtId="8" formatCode="&quot;ريال&quot;#,##0.00_);[Red]\(&quot;ريال&quot;#,##0.00\)"/>
    <numFmt numFmtId="42" formatCode="_(&quot;ريال&quot;* #,##0_);_(&quot;ريال&quot;* \(#,##0\);_(&quot;ريال&quot;* &quot;-&quot;_);_(@_)"/>
    <numFmt numFmtId="41" formatCode="_(* #,##0_);_(* \(#,##0\);_(* &quot;-&quot;_);_(@_)"/>
    <numFmt numFmtId="44" formatCode="_(&quot;ريال&quot;* #,##0.00_);_(&quot;ريال&quot;* \(#,##0.00\);_(&quot;ريال&quot;* &quot;-&quot;??_);_(@_)"/>
    <numFmt numFmtId="43" formatCode="_(* #,##0.00_);_(* \(#,##0.00\);_(* &quot;-&quot;??_);_(@_)"/>
    <numFmt numFmtId="176" formatCode="_-&quot;ريال&quot;\ * #,##0_-;_-&quot;ريال&quot;\ * #,##0\-;_-&quot;ريال&quot;\ * &quot;-&quot;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90" formatCode="#,##0_ ;[Red]\-#,##0\ "/>
    <numFmt numFmtId="205" formatCode="_(* #,##0_);_(* \(#,##0\);_(* &quot;-&quot;??_);_(@_)"/>
    <numFmt numFmtId="215" formatCode="#,##0_ ;\-#,##0\ "/>
    <numFmt numFmtId="221" formatCode="_-&quot;ريال&quot;\ \ \ \ #,##0"/>
    <numFmt numFmtId="223" formatCode="&quot;&quot;#,##0_);\(&quot;&quot;#,##0\)"/>
    <numFmt numFmtId="228" formatCode="0.000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 Nazanin"/>
      <family val="0"/>
    </font>
    <font>
      <sz val="11"/>
      <color indexed="8"/>
      <name val="B Nazanin"/>
      <family val="0"/>
    </font>
    <font>
      <b/>
      <sz val="13"/>
      <color indexed="8"/>
      <name val="B Nazanin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B Titr"/>
      <family val="0"/>
    </font>
    <font>
      <u val="single"/>
      <sz val="11"/>
      <color indexed="8"/>
      <name val="B Titr"/>
      <family val="0"/>
    </font>
    <font>
      <sz val="15"/>
      <color indexed="8"/>
      <name val="B Titr"/>
      <family val="0"/>
    </font>
    <font>
      <b/>
      <sz val="12"/>
      <color indexed="8"/>
      <name val="B Titr"/>
      <family val="0"/>
    </font>
    <font>
      <i/>
      <sz val="15"/>
      <color indexed="8"/>
      <name val="B Titr"/>
      <family val="0"/>
    </font>
    <font>
      <sz val="14"/>
      <color indexed="8"/>
      <name val="B Titr"/>
      <family val="0"/>
    </font>
    <font>
      <u val="single"/>
      <sz val="14"/>
      <color indexed="8"/>
      <name val="B Titr"/>
      <family val="0"/>
    </font>
    <font>
      <b/>
      <u val="single"/>
      <sz val="14"/>
      <color indexed="8"/>
      <name val="B Titr"/>
      <family val="0"/>
    </font>
    <font>
      <b/>
      <sz val="10"/>
      <color indexed="8"/>
      <name val="B Nazanin"/>
      <family val="0"/>
    </font>
    <font>
      <b/>
      <sz val="8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B Nazanin"/>
      <family val="0"/>
    </font>
    <font>
      <b/>
      <sz val="16"/>
      <color indexed="8"/>
      <name val="B Nazanin"/>
      <family val="0"/>
    </font>
    <font>
      <b/>
      <sz val="9"/>
      <color indexed="8"/>
      <name val="B Nazanin"/>
      <family val="0"/>
    </font>
    <font>
      <b/>
      <sz val="14"/>
      <color indexed="8"/>
      <name val="B Nazanin"/>
      <family val="0"/>
    </font>
    <font>
      <sz val="9"/>
      <color indexed="8"/>
      <name val="Calibri"/>
      <family val="2"/>
    </font>
    <font>
      <sz val="10"/>
      <color indexed="8"/>
      <name val="B Nazanin"/>
      <family val="0"/>
    </font>
    <font>
      <b/>
      <sz val="13"/>
      <color indexed="8"/>
      <name val="B Titr"/>
      <family val="0"/>
    </font>
    <font>
      <sz val="11"/>
      <color indexed="9"/>
      <name val="B Titr"/>
      <family val="0"/>
    </font>
    <font>
      <sz val="14"/>
      <color indexed="43"/>
      <name val="B Titr"/>
      <family val="0"/>
    </font>
    <font>
      <b/>
      <sz val="13"/>
      <color indexed="10"/>
      <name val="B Nazanin"/>
      <family val="0"/>
    </font>
    <font>
      <b/>
      <sz val="12"/>
      <color indexed="8"/>
      <name val="B Nazanin"/>
      <family val="0"/>
    </font>
    <font>
      <b/>
      <sz val="14"/>
      <color indexed="8"/>
      <name val="B Titr"/>
      <family val="0"/>
    </font>
    <font>
      <sz val="1"/>
      <color indexed="9"/>
      <name val="B Titr"/>
      <family val="0"/>
    </font>
    <font>
      <b/>
      <sz val="2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Nazanin"/>
      <family val="0"/>
    </font>
    <font>
      <sz val="9"/>
      <color theme="1"/>
      <name val="B Nazanin"/>
      <family val="0"/>
    </font>
    <font>
      <b/>
      <sz val="16"/>
      <color theme="1"/>
      <name val="B Nazanin"/>
      <family val="0"/>
    </font>
    <font>
      <sz val="11"/>
      <color theme="1"/>
      <name val="B Nazanin"/>
      <family val="0"/>
    </font>
    <font>
      <b/>
      <sz val="10"/>
      <color theme="1"/>
      <name val="B Nazanin"/>
      <family val="0"/>
    </font>
    <font>
      <b/>
      <sz val="9"/>
      <color theme="1"/>
      <name val="B Nazanin"/>
      <family val="0"/>
    </font>
    <font>
      <b/>
      <sz val="14"/>
      <color theme="1"/>
      <name val="B Nazanin"/>
      <family val="0"/>
    </font>
    <font>
      <b/>
      <sz val="13"/>
      <color theme="1"/>
      <name val="B Nazanin"/>
      <family val="0"/>
    </font>
    <font>
      <sz val="9"/>
      <color theme="1"/>
      <name val="Calibri"/>
      <family val="2"/>
    </font>
    <font>
      <sz val="10"/>
      <color theme="1"/>
      <name val="B Nazanin"/>
      <family val="0"/>
    </font>
    <font>
      <sz val="14"/>
      <color theme="1"/>
      <name val="B Titr"/>
      <family val="0"/>
    </font>
    <font>
      <b/>
      <sz val="13"/>
      <color theme="1"/>
      <name val="B Titr"/>
      <family val="0"/>
    </font>
    <font>
      <b/>
      <sz val="12"/>
      <color theme="1"/>
      <name val="B Titr"/>
      <family val="0"/>
    </font>
    <font>
      <sz val="11"/>
      <color theme="1"/>
      <name val="B Titr"/>
      <family val="0"/>
    </font>
    <font>
      <sz val="11"/>
      <color theme="0"/>
      <name val="B Titr"/>
      <family val="0"/>
    </font>
    <font>
      <sz val="14"/>
      <color rgb="FFFFFF99"/>
      <name val="B Titr"/>
      <family val="0"/>
    </font>
    <font>
      <b/>
      <sz val="13"/>
      <color rgb="FFFF0000"/>
      <name val="B Nazanin"/>
      <family val="0"/>
    </font>
    <font>
      <b/>
      <sz val="13"/>
      <color rgb="FF000000"/>
      <name val="B Nazanin"/>
      <family val="0"/>
    </font>
    <font>
      <b/>
      <sz val="10"/>
      <color rgb="FF000000"/>
      <name val="B Nazanin"/>
      <family val="0"/>
    </font>
    <font>
      <b/>
      <sz val="12"/>
      <color rgb="FF000000"/>
      <name val="B Nazanin"/>
      <family val="0"/>
    </font>
    <font>
      <b/>
      <sz val="11"/>
      <color rgb="FF000000"/>
      <name val="B Nazanin"/>
      <family val="0"/>
    </font>
    <font>
      <b/>
      <sz val="9"/>
      <color rgb="FF000000"/>
      <name val="B Nazanin"/>
      <family val="0"/>
    </font>
    <font>
      <sz val="11"/>
      <color rgb="FF000000"/>
      <name val="B Nazanin"/>
      <family val="0"/>
    </font>
    <font>
      <b/>
      <sz val="16"/>
      <color rgb="FF000000"/>
      <name val="B Nazanin"/>
      <family val="0"/>
    </font>
    <font>
      <b/>
      <sz val="14"/>
      <color theme="1"/>
      <name val="B Titr"/>
      <family val="0"/>
    </font>
    <font>
      <b/>
      <sz val="14"/>
      <color rgb="FF000000"/>
      <name val="B Nazanin"/>
      <family val="0"/>
    </font>
    <font>
      <sz val="1"/>
      <color theme="0"/>
      <name val="B Titr"/>
      <family val="0"/>
    </font>
    <font>
      <b/>
      <sz val="12"/>
      <color theme="1"/>
      <name val="B Nazanin"/>
      <family val="0"/>
    </font>
    <font>
      <b/>
      <sz val="20"/>
      <color theme="1"/>
      <name val="B Nazanin"/>
      <family val="0"/>
    </font>
    <font>
      <sz val="15"/>
      <color theme="1"/>
      <name val="B Titr"/>
      <family val="0"/>
    </font>
    <font>
      <b/>
      <sz val="8"/>
      <color theme="1"/>
      <name val="B Nazanin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A8F8D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F6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26EE9D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63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64" fillId="33" borderId="0" xfId="0" applyNumberFormat="1" applyFont="1" applyFill="1" applyAlignment="1" applyProtection="1">
      <alignment horizontal="right" vertical="center" wrapText="1"/>
      <protection/>
    </xf>
    <xf numFmtId="215" fontId="63" fillId="33" borderId="10" xfId="0" applyNumberFormat="1" applyFont="1" applyFill="1" applyBorder="1" applyAlignment="1" applyProtection="1">
      <alignment/>
      <protection/>
    </xf>
    <xf numFmtId="0" fontId="63" fillId="33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65" fillId="33" borderId="0" xfId="0" applyFont="1" applyFill="1" applyAlignment="1" applyProtection="1">
      <alignment vertical="center"/>
      <protection/>
    </xf>
    <xf numFmtId="0" fontId="66" fillId="34" borderId="10" xfId="0" applyFont="1" applyFill="1" applyBorder="1" applyAlignment="1" applyProtection="1">
      <alignment horizontal="center"/>
      <protection/>
    </xf>
    <xf numFmtId="3" fontId="66" fillId="34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6" fillId="35" borderId="10" xfId="0" applyFont="1" applyFill="1" applyBorder="1" applyAlignment="1" applyProtection="1">
      <alignment horizontal="center"/>
      <protection/>
    </xf>
    <xf numFmtId="205" fontId="66" fillId="35" borderId="10" xfId="42" applyNumberFormat="1" applyFont="1" applyFill="1" applyBorder="1" applyAlignment="1" applyProtection="1">
      <alignment horizontal="center"/>
      <protection/>
    </xf>
    <xf numFmtId="3" fontId="66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66" fillId="36" borderId="10" xfId="0" applyFont="1" applyFill="1" applyBorder="1" applyAlignment="1" applyProtection="1">
      <alignment horizontal="center" vertical="center"/>
      <protection/>
    </xf>
    <xf numFmtId="3" fontId="66" fillId="36" borderId="10" xfId="0" applyNumberFormat="1" applyFont="1" applyFill="1" applyBorder="1" applyAlignment="1" applyProtection="1">
      <alignment horizontal="center" vertical="center"/>
      <protection/>
    </xf>
    <xf numFmtId="0" fontId="66" fillId="37" borderId="10" xfId="0" applyFont="1" applyFill="1" applyBorder="1" applyAlignment="1" applyProtection="1">
      <alignment horizontal="center"/>
      <protection/>
    </xf>
    <xf numFmtId="205" fontId="66" fillId="37" borderId="10" xfId="42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9" fontId="66" fillId="37" borderId="10" xfId="0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0" fontId="6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7" fillId="18" borderId="10" xfId="0" applyFont="1" applyFill="1" applyBorder="1" applyAlignment="1" applyProtection="1">
      <alignment horizontal="center" vertical="center" wrapText="1"/>
      <protection/>
    </xf>
    <xf numFmtId="0" fontId="68" fillId="18" borderId="10" xfId="0" applyFont="1" applyFill="1" applyBorder="1" applyAlignment="1" applyProtection="1">
      <alignment horizontal="center" vertical="center" wrapText="1"/>
      <protection/>
    </xf>
    <xf numFmtId="205" fontId="66" fillId="18" borderId="10" xfId="42" applyNumberFormat="1" applyFont="1" applyFill="1" applyBorder="1" applyAlignment="1" applyProtection="1">
      <alignment/>
      <protection/>
    </xf>
    <xf numFmtId="0" fontId="66" fillId="18" borderId="10" xfId="0" applyFont="1" applyFill="1" applyBorder="1" applyAlignment="1" applyProtection="1">
      <alignment/>
      <protection/>
    </xf>
    <xf numFmtId="205" fontId="66" fillId="38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66" fillId="18" borderId="10" xfId="0" applyFont="1" applyFill="1" applyBorder="1" applyAlignment="1" applyProtection="1">
      <alignment vertical="center"/>
      <protection/>
    </xf>
    <xf numFmtId="205" fontId="66" fillId="18" borderId="10" xfId="42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205" fontId="63" fillId="18" borderId="10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205" fontId="63" fillId="38" borderId="10" xfId="42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205" fontId="63" fillId="18" borderId="10" xfId="42" applyNumberFormat="1" applyFont="1" applyFill="1" applyBorder="1" applyAlignment="1" applyProtection="1">
      <alignment horizontal="center" vertical="center"/>
      <protection/>
    </xf>
    <xf numFmtId="0" fontId="69" fillId="34" borderId="10" xfId="0" applyFont="1" applyFill="1" applyBorder="1" applyAlignment="1" applyProtection="1">
      <alignment horizontal="center" vertical="center"/>
      <protection/>
    </xf>
    <xf numFmtId="205" fontId="0" fillId="0" borderId="0" xfId="0" applyNumberFormat="1" applyAlignment="1" applyProtection="1">
      <alignment/>
      <protection/>
    </xf>
    <xf numFmtId="9" fontId="66" fillId="18" borderId="10" xfId="0" applyNumberFormat="1" applyFont="1" applyFill="1" applyBorder="1" applyAlignment="1" applyProtection="1">
      <alignment horizontal="center" vertical="center"/>
      <protection/>
    </xf>
    <xf numFmtId="176" fontId="63" fillId="33" borderId="10" xfId="0" applyNumberFormat="1" applyFont="1" applyFill="1" applyBorder="1" applyAlignment="1" applyProtection="1">
      <alignment/>
      <protection/>
    </xf>
    <xf numFmtId="205" fontId="66" fillId="39" borderId="10" xfId="42" applyNumberFormat="1" applyFont="1" applyFill="1" applyBorder="1" applyAlignment="1" applyProtection="1">
      <alignment horizontal="center"/>
      <protection/>
    </xf>
    <xf numFmtId="3" fontId="66" fillId="39" borderId="10" xfId="0" applyNumberFormat="1" applyFont="1" applyFill="1" applyBorder="1" applyAlignment="1" applyProtection="1">
      <alignment horizontal="center"/>
      <protection/>
    </xf>
    <xf numFmtId="9" fontId="66" fillId="39" borderId="10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Alignment="1" applyProtection="1">
      <alignment horizontal="center" vertical="center" wrapText="1"/>
      <protection locked="0"/>
    </xf>
    <xf numFmtId="3" fontId="70" fillId="0" borderId="10" xfId="0" applyNumberFormat="1" applyFont="1" applyBorder="1" applyAlignment="1" applyProtection="1">
      <alignment horizontal="center" vertical="center" wrapText="1"/>
      <protection locked="0"/>
    </xf>
    <xf numFmtId="2" fontId="70" fillId="0" borderId="0" xfId="0" applyNumberFormat="1" applyFont="1" applyAlignment="1" applyProtection="1">
      <alignment horizontal="center" vertical="center" wrapText="1"/>
      <protection locked="0"/>
    </xf>
    <xf numFmtId="2" fontId="70" fillId="0" borderId="10" xfId="0" applyNumberFormat="1" applyFont="1" applyBorder="1" applyAlignment="1" applyProtection="1">
      <alignment horizontal="center" vertical="center" wrapText="1"/>
      <protection locked="0"/>
    </xf>
    <xf numFmtId="3" fontId="70" fillId="0" borderId="0" xfId="0" applyNumberFormat="1" applyFont="1" applyAlignment="1" applyProtection="1">
      <alignment horizontal="center" vertical="center" wrapText="1"/>
      <protection/>
    </xf>
    <xf numFmtId="3" fontId="70" fillId="39" borderId="10" xfId="0" applyNumberFormat="1" applyFont="1" applyFill="1" applyBorder="1" applyAlignment="1" applyProtection="1">
      <alignment horizontal="center" vertical="center" wrapText="1"/>
      <protection/>
    </xf>
    <xf numFmtId="9" fontId="70" fillId="39" borderId="10" xfId="0" applyNumberFormat="1" applyFont="1" applyFill="1" applyBorder="1" applyAlignment="1" applyProtection="1">
      <alignment horizontal="center" vertical="center" wrapText="1"/>
      <protection/>
    </xf>
    <xf numFmtId="3" fontId="70" fillId="39" borderId="0" xfId="0" applyNumberFormat="1" applyFont="1" applyFill="1" applyAlignment="1" applyProtection="1">
      <alignment horizontal="center" vertical="center" wrapText="1"/>
      <protection/>
    </xf>
    <xf numFmtId="2" fontId="70" fillId="39" borderId="10" xfId="0" applyNumberFormat="1" applyFont="1" applyFill="1" applyBorder="1" applyAlignment="1" applyProtection="1">
      <alignment horizontal="center" vertical="center" wrapText="1"/>
      <protection/>
    </xf>
    <xf numFmtId="2" fontId="70" fillId="39" borderId="0" xfId="0" applyNumberFormat="1" applyFont="1" applyFill="1" applyAlignment="1" applyProtection="1">
      <alignment horizontal="center" vertical="center" wrapText="1"/>
      <protection/>
    </xf>
    <xf numFmtId="2" fontId="70" fillId="0" borderId="0" xfId="0" applyNumberFormat="1" applyFont="1" applyAlignment="1" applyProtection="1">
      <alignment horizontal="center" vertical="center" wrapText="1"/>
      <protection/>
    </xf>
    <xf numFmtId="3" fontId="70" fillId="0" borderId="0" xfId="0" applyNumberFormat="1" applyFont="1" applyAlignment="1" applyProtection="1">
      <alignment vertical="center" wrapText="1"/>
      <protection/>
    </xf>
    <xf numFmtId="3" fontId="70" fillId="39" borderId="10" xfId="0" applyNumberFormat="1" applyFont="1" applyFill="1" applyBorder="1" applyAlignment="1" applyProtection="1">
      <alignment horizontal="center" vertical="center" shrinkToFit="1"/>
      <protection/>
    </xf>
    <xf numFmtId="3" fontId="70" fillId="39" borderId="10" xfId="0" applyNumberFormat="1" applyFont="1" applyFill="1" applyBorder="1" applyAlignment="1" applyProtection="1">
      <alignment horizontal="center" vertical="center" wrapText="1" shrinkToFit="1"/>
      <protection/>
    </xf>
    <xf numFmtId="205" fontId="71" fillId="0" borderId="0" xfId="0" applyNumberFormat="1" applyFont="1" applyAlignment="1" applyProtection="1">
      <alignment/>
      <protection/>
    </xf>
    <xf numFmtId="0" fontId="72" fillId="0" borderId="0" xfId="0" applyFont="1" applyFill="1" applyBorder="1" applyAlignment="1" applyProtection="1">
      <alignment vertical="center" wrapText="1"/>
      <protection/>
    </xf>
    <xf numFmtId="176" fontId="63" fillId="33" borderId="0" xfId="0" applyNumberFormat="1" applyFont="1" applyFill="1" applyAlignment="1" applyProtection="1">
      <alignment/>
      <protection/>
    </xf>
    <xf numFmtId="215" fontId="63" fillId="33" borderId="0" xfId="0" applyNumberFormat="1" applyFont="1" applyFill="1" applyAlignment="1" applyProtection="1">
      <alignment/>
      <protection/>
    </xf>
    <xf numFmtId="0" fontId="66" fillId="39" borderId="10" xfId="0" applyFont="1" applyFill="1" applyBorder="1" applyAlignment="1" applyProtection="1">
      <alignment horizontal="center"/>
      <protection/>
    </xf>
    <xf numFmtId="0" fontId="70" fillId="12" borderId="10" xfId="0" applyFont="1" applyFill="1" applyBorder="1" applyAlignment="1" applyProtection="1">
      <alignment horizontal="center" vertical="center"/>
      <protection/>
    </xf>
    <xf numFmtId="3" fontId="69" fillId="40" borderId="11" xfId="0" applyNumberFormat="1" applyFont="1" applyFill="1" applyBorder="1" applyAlignment="1" applyProtection="1">
      <alignment horizontal="right" vertical="center" shrinkToFit="1"/>
      <protection/>
    </xf>
    <xf numFmtId="0" fontId="63" fillId="33" borderId="0" xfId="0" applyNumberFormat="1" applyFont="1" applyFill="1" applyAlignment="1" applyProtection="1">
      <alignment horizontal="right" vertical="center" wrapText="1"/>
      <protection/>
    </xf>
    <xf numFmtId="0" fontId="73" fillId="0" borderId="10" xfId="0" applyFont="1" applyBorder="1" applyAlignment="1" applyProtection="1">
      <alignment horizontal="center" vertical="center"/>
      <protection locked="0"/>
    </xf>
    <xf numFmtId="3" fontId="74" fillId="41" borderId="0" xfId="0" applyNumberFormat="1" applyFont="1" applyFill="1" applyAlignment="1" applyProtection="1">
      <alignment horizontal="center" vertical="center" wrapText="1"/>
      <protection/>
    </xf>
    <xf numFmtId="3" fontId="74" fillId="41" borderId="10" xfId="0" applyNumberFormat="1" applyFont="1" applyFill="1" applyBorder="1" applyAlignment="1" applyProtection="1">
      <alignment horizontal="center" vertical="center" wrapText="1"/>
      <protection/>
    </xf>
    <xf numFmtId="3" fontId="74" fillId="41" borderId="0" xfId="0" applyNumberFormat="1" applyFont="1" applyFill="1" applyAlignment="1" applyProtection="1">
      <alignment horizontal="right" vertical="center" wrapText="1"/>
      <protection/>
    </xf>
    <xf numFmtId="2" fontId="74" fillId="41" borderId="12" xfId="0" applyNumberFormat="1" applyFont="1" applyFill="1" applyBorder="1" applyAlignment="1" applyProtection="1">
      <alignment horizontal="left" vertical="center" wrapText="1"/>
      <protection/>
    </xf>
    <xf numFmtId="205" fontId="66" fillId="0" borderId="0" xfId="0" applyNumberFormat="1" applyFont="1" applyFill="1" applyBorder="1" applyAlignment="1" applyProtection="1">
      <alignment vertical="center" wrapText="1"/>
      <protection/>
    </xf>
    <xf numFmtId="3" fontId="75" fillId="4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 vertical="center"/>
    </xf>
    <xf numFmtId="0" fontId="73" fillId="34" borderId="10" xfId="0" applyFont="1" applyFill="1" applyBorder="1" applyAlignment="1">
      <alignment vertical="center"/>
    </xf>
    <xf numFmtId="0" fontId="76" fillId="38" borderId="0" xfId="0" applyFont="1" applyFill="1" applyAlignment="1">
      <alignment horizontal="right" vertical="center"/>
    </xf>
    <xf numFmtId="221" fontId="73" fillId="0" borderId="0" xfId="0" applyNumberFormat="1" applyFont="1" applyAlignment="1" applyProtection="1">
      <alignment horizontal="right" vertical="center" indent="1"/>
      <protection locked="0"/>
    </xf>
    <xf numFmtId="0" fontId="77" fillId="42" borderId="0" xfId="0" applyFont="1" applyFill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42" borderId="0" xfId="0" applyFont="1" applyFill="1" applyAlignment="1">
      <alignment vertical="center"/>
    </xf>
    <xf numFmtId="0" fontId="78" fillId="34" borderId="10" xfId="0" applyFont="1" applyFill="1" applyBorder="1" applyAlignment="1">
      <alignment vertical="center"/>
    </xf>
    <xf numFmtId="0" fontId="76" fillId="43" borderId="10" xfId="0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190" fontId="79" fillId="0" borderId="10" xfId="0" applyNumberFormat="1" applyFont="1" applyBorder="1" applyAlignment="1">
      <alignment horizontal="center" vertical="center" wrapText="1"/>
    </xf>
    <xf numFmtId="3" fontId="80" fillId="0" borderId="0" xfId="0" applyNumberFormat="1" applyFont="1" applyAlignment="1">
      <alignment vertical="center" wrapText="1"/>
    </xf>
    <xf numFmtId="3" fontId="80" fillId="0" borderId="0" xfId="0" applyNumberFormat="1" applyFont="1" applyAlignment="1">
      <alignment horizontal="center" vertical="center" wrapText="1"/>
    </xf>
    <xf numFmtId="3" fontId="80" fillId="44" borderId="0" xfId="0" applyNumberFormat="1" applyFont="1" applyFill="1" applyAlignment="1">
      <alignment horizontal="center" vertical="center" wrapText="1"/>
    </xf>
    <xf numFmtId="2" fontId="80" fillId="44" borderId="0" xfId="0" applyNumberFormat="1" applyFont="1" applyFill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190" fontId="81" fillId="0" borderId="0" xfId="0" applyNumberFormat="1" applyFont="1" applyAlignment="1">
      <alignment horizontal="center" vertical="center" wrapText="1"/>
    </xf>
    <xf numFmtId="190" fontId="80" fillId="0" borderId="0" xfId="0" applyNumberFormat="1" applyFont="1" applyAlignment="1">
      <alignment horizontal="center" vertical="center" wrapText="1"/>
    </xf>
    <xf numFmtId="3" fontId="80" fillId="44" borderId="10" xfId="0" applyNumberFormat="1" applyFont="1" applyFill="1" applyBorder="1" applyAlignment="1">
      <alignment horizontal="center" vertical="center" wrapText="1"/>
    </xf>
    <xf numFmtId="2" fontId="80" fillId="44" borderId="10" xfId="0" applyNumberFormat="1" applyFont="1" applyFill="1" applyBorder="1" applyAlignment="1">
      <alignment horizontal="center" vertical="center" wrapText="1"/>
    </xf>
    <xf numFmtId="3" fontId="80" fillId="44" borderId="13" xfId="0" applyNumberFormat="1" applyFont="1" applyFill="1" applyBorder="1" applyAlignment="1">
      <alignment horizontal="center" vertical="center" wrapText="1"/>
    </xf>
    <xf numFmtId="190" fontId="82" fillId="45" borderId="10" xfId="0" applyNumberFormat="1" applyFont="1" applyFill="1" applyBorder="1" applyAlignment="1">
      <alignment horizontal="center" vertical="center" wrapText="1"/>
    </xf>
    <xf numFmtId="190" fontId="83" fillId="0" borderId="0" xfId="0" applyNumberFormat="1" applyFont="1" applyAlignment="1">
      <alignment horizontal="center" vertical="center" wrapText="1"/>
    </xf>
    <xf numFmtId="190" fontId="82" fillId="0" borderId="0" xfId="0" applyNumberFormat="1" applyFont="1" applyAlignment="1">
      <alignment horizontal="center" vertical="center" wrapText="1"/>
    </xf>
    <xf numFmtId="190" fontId="80" fillId="45" borderId="10" xfId="0" applyNumberFormat="1" applyFont="1" applyFill="1" applyBorder="1" applyAlignment="1">
      <alignment horizontal="center" vertical="center" wrapText="1"/>
    </xf>
    <xf numFmtId="190" fontId="80" fillId="0" borderId="10" xfId="0" applyNumberFormat="1" applyFont="1" applyBorder="1" applyAlignment="1">
      <alignment horizontal="center" vertical="center" wrapText="1"/>
    </xf>
    <xf numFmtId="190" fontId="84" fillId="0" borderId="0" xfId="0" applyNumberFormat="1" applyFont="1" applyAlignment="1">
      <alignment horizontal="center" vertical="center" wrapText="1"/>
    </xf>
    <xf numFmtId="3" fontId="83" fillId="44" borderId="0" xfId="0" applyNumberFormat="1" applyFont="1" applyFill="1" applyAlignment="1">
      <alignment horizontal="center" vertical="center" wrapText="1"/>
    </xf>
    <xf numFmtId="2" fontId="83" fillId="44" borderId="0" xfId="0" applyNumberFormat="1" applyFont="1" applyFill="1" applyAlignment="1">
      <alignment horizontal="center" vertical="center" wrapText="1"/>
    </xf>
    <xf numFmtId="3" fontId="80" fillId="44" borderId="14" xfId="0" applyNumberFormat="1" applyFont="1" applyFill="1" applyBorder="1" applyAlignment="1">
      <alignment horizontal="center" vertical="center" wrapText="1"/>
    </xf>
    <xf numFmtId="3" fontId="80" fillId="0" borderId="14" xfId="0" applyNumberFormat="1" applyFont="1" applyBorder="1" applyAlignment="1">
      <alignment horizontal="center" vertical="center" wrapText="1"/>
    </xf>
    <xf numFmtId="190" fontId="80" fillId="0" borderId="14" xfId="0" applyNumberFormat="1" applyFont="1" applyBorder="1" applyAlignment="1">
      <alignment horizontal="center" vertical="center" wrapText="1"/>
    </xf>
    <xf numFmtId="3" fontId="80" fillId="0" borderId="15" xfId="0" applyNumberFormat="1" applyFont="1" applyBorder="1" applyAlignment="1">
      <alignment horizontal="center" vertical="center" wrapText="1"/>
    </xf>
    <xf numFmtId="190" fontId="80" fillId="46" borderId="10" xfId="0" applyNumberFormat="1" applyFont="1" applyFill="1" applyBorder="1" applyAlignment="1">
      <alignment horizontal="center" vertical="center" wrapText="1"/>
    </xf>
    <xf numFmtId="41" fontId="80" fillId="0" borderId="14" xfId="0" applyNumberFormat="1" applyFont="1" applyBorder="1" applyAlignment="1">
      <alignment horizontal="center" vertical="center" wrapText="1"/>
    </xf>
    <xf numFmtId="41" fontId="80" fillId="0" borderId="0" xfId="0" applyNumberFormat="1" applyFont="1" applyAlignment="1">
      <alignment horizontal="center" vertical="center" wrapText="1"/>
    </xf>
    <xf numFmtId="3" fontId="80" fillId="47" borderId="10" xfId="0" applyNumberFormat="1" applyFont="1" applyFill="1" applyBorder="1" applyAlignment="1">
      <alignment horizontal="center" vertical="center" wrapText="1"/>
    </xf>
    <xf numFmtId="9" fontId="80" fillId="47" borderId="10" xfId="0" applyNumberFormat="1" applyFont="1" applyFill="1" applyBorder="1" applyAlignment="1">
      <alignment horizontal="center" vertical="center" wrapText="1"/>
    </xf>
    <xf numFmtId="3" fontId="80" fillId="47" borderId="10" xfId="0" applyNumberFormat="1" applyFont="1" applyFill="1" applyBorder="1" applyAlignment="1">
      <alignment horizontal="center" vertical="center" shrinkToFit="1"/>
    </xf>
    <xf numFmtId="3" fontId="80" fillId="47" borderId="13" xfId="0" applyNumberFormat="1" applyFont="1" applyFill="1" applyBorder="1" applyAlignment="1">
      <alignment horizontal="center" vertical="center" wrapText="1"/>
    </xf>
    <xf numFmtId="3" fontId="80" fillId="47" borderId="0" xfId="0" applyNumberFormat="1" applyFont="1" applyFill="1" applyAlignment="1">
      <alignment horizontal="center" vertical="center" wrapText="1"/>
    </xf>
    <xf numFmtId="2" fontId="80" fillId="47" borderId="0" xfId="0" applyNumberFormat="1" applyFont="1" applyFill="1" applyAlignment="1">
      <alignment horizontal="center" vertical="center" wrapText="1"/>
    </xf>
    <xf numFmtId="3" fontId="80" fillId="47" borderId="0" xfId="0" applyNumberFormat="1" applyFont="1" applyFill="1" applyAlignment="1">
      <alignment horizontal="center" vertical="center" shrinkToFit="1"/>
    </xf>
    <xf numFmtId="2" fontId="80" fillId="47" borderId="10" xfId="0" applyNumberFormat="1" applyFont="1" applyFill="1" applyBorder="1" applyAlignment="1">
      <alignment horizontal="center" vertical="center" wrapText="1" shrinkToFit="1"/>
    </xf>
    <xf numFmtId="2" fontId="82" fillId="47" borderId="10" xfId="0" applyNumberFormat="1" applyFont="1" applyFill="1" applyBorder="1" applyAlignment="1">
      <alignment horizontal="center" vertical="center" wrapText="1" shrinkToFit="1"/>
    </xf>
    <xf numFmtId="2" fontId="80" fillId="0" borderId="0" xfId="0" applyNumberFormat="1" applyFont="1" applyAlignment="1">
      <alignment horizontal="center" vertical="center" wrapText="1"/>
    </xf>
    <xf numFmtId="0" fontId="85" fillId="47" borderId="10" xfId="0" applyFont="1" applyFill="1" applyBorder="1" applyAlignment="1">
      <alignment horizontal="center" wrapText="1"/>
    </xf>
    <xf numFmtId="205" fontId="85" fillId="47" borderId="10" xfId="42" applyNumberFormat="1" applyFont="1" applyFill="1" applyBorder="1" applyAlignment="1" applyProtection="1">
      <alignment horizontal="center" wrapText="1"/>
      <protection/>
    </xf>
    <xf numFmtId="0" fontId="85" fillId="47" borderId="10" xfId="0" applyFont="1" applyFill="1" applyBorder="1" applyAlignment="1">
      <alignment horizontal="center"/>
    </xf>
    <xf numFmtId="205" fontId="85" fillId="47" borderId="10" xfId="42" applyNumberFormat="1" applyFont="1" applyFill="1" applyBorder="1" applyAlignment="1" applyProtection="1">
      <alignment horizontal="center"/>
      <protection/>
    </xf>
    <xf numFmtId="3" fontId="85" fillId="47" borderId="10" xfId="0" applyNumberFormat="1" applyFont="1" applyFill="1" applyBorder="1" applyAlignment="1">
      <alignment horizontal="center"/>
    </xf>
    <xf numFmtId="9" fontId="85" fillId="47" borderId="10" xfId="0" applyNumberFormat="1" applyFont="1" applyFill="1" applyBorder="1" applyAlignment="1">
      <alignment horizontal="center" vertical="center"/>
    </xf>
    <xf numFmtId="190" fontId="81" fillId="46" borderId="10" xfId="0" applyNumberFormat="1" applyFont="1" applyFill="1" applyBorder="1" applyAlignment="1">
      <alignment horizontal="center" vertical="center" wrapText="1"/>
    </xf>
    <xf numFmtId="223" fontId="79" fillId="47" borderId="10" xfId="0" applyNumberFormat="1" applyFont="1" applyFill="1" applyBorder="1" applyAlignment="1">
      <alignment horizontal="center" vertical="center" wrapText="1"/>
    </xf>
    <xf numFmtId="3" fontId="86" fillId="47" borderId="10" xfId="0" applyNumberFormat="1" applyFont="1" applyFill="1" applyBorder="1" applyAlignment="1">
      <alignment horizontal="center" vertical="center" wrapText="1"/>
    </xf>
    <xf numFmtId="0" fontId="66" fillId="37" borderId="10" xfId="0" applyFont="1" applyFill="1" applyBorder="1" applyAlignment="1" applyProtection="1">
      <alignment vertical="center" wrapText="1"/>
      <protection/>
    </xf>
    <xf numFmtId="0" fontId="66" fillId="37" borderId="10" xfId="0" applyFont="1" applyFill="1" applyBorder="1" applyAlignment="1" applyProtection="1">
      <alignment vertical="center"/>
      <protection/>
    </xf>
    <xf numFmtId="9" fontId="66" fillId="37" borderId="10" xfId="0" applyNumberFormat="1" applyFont="1" applyFill="1" applyBorder="1" applyAlignment="1" applyProtection="1">
      <alignment vertical="center"/>
      <protection/>
    </xf>
    <xf numFmtId="0" fontId="7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6" fillId="38" borderId="13" xfId="0" applyFont="1" applyFill="1" applyBorder="1" applyAlignment="1">
      <alignment horizontal="right" vertical="center"/>
    </xf>
    <xf numFmtId="0" fontId="76" fillId="43" borderId="13" xfId="0" applyFont="1" applyFill="1" applyBorder="1" applyAlignment="1">
      <alignment horizontal="right" vertical="center"/>
    </xf>
    <xf numFmtId="0" fontId="76" fillId="43" borderId="13" xfId="0" applyFont="1" applyFill="1" applyBorder="1" applyAlignment="1">
      <alignment horizontal="right" vertical="center" wrapText="1"/>
    </xf>
    <xf numFmtId="0" fontId="76" fillId="0" borderId="16" xfId="0" applyFont="1" applyBorder="1" applyAlignment="1">
      <alignment horizontal="center" vertical="center"/>
    </xf>
    <xf numFmtId="3" fontId="73" fillId="0" borderId="13" xfId="0" applyNumberFormat="1" applyFont="1" applyBorder="1" applyAlignment="1" applyProtection="1">
      <alignment horizontal="center" vertical="center"/>
      <protection locked="0"/>
    </xf>
    <xf numFmtId="0" fontId="87" fillId="0" borderId="15" xfId="0" applyFont="1" applyBorder="1" applyAlignment="1">
      <alignment horizontal="right" vertical="center"/>
    </xf>
    <xf numFmtId="0" fontId="73" fillId="34" borderId="13" xfId="0" applyFont="1" applyFill="1" applyBorder="1" applyAlignment="1">
      <alignment vertical="center"/>
    </xf>
    <xf numFmtId="3" fontId="73" fillId="0" borderId="17" xfId="0" applyNumberFormat="1" applyFont="1" applyBorder="1" applyAlignment="1" applyProtection="1">
      <alignment horizontal="center" vertical="center"/>
      <protection locked="0"/>
    </xf>
    <xf numFmtId="0" fontId="87" fillId="0" borderId="18" xfId="0" applyFont="1" applyBorder="1" applyAlignment="1">
      <alignment horizontal="right" vertical="center"/>
    </xf>
    <xf numFmtId="0" fontId="76" fillId="34" borderId="15" xfId="0" applyFont="1" applyFill="1" applyBorder="1" applyAlignment="1">
      <alignment horizontal="right" vertical="center"/>
    </xf>
    <xf numFmtId="3" fontId="80" fillId="48" borderId="0" xfId="0" applyNumberFormat="1" applyFont="1" applyFill="1" applyAlignment="1">
      <alignment horizontal="center" vertical="center" wrapText="1"/>
    </xf>
    <xf numFmtId="3" fontId="80" fillId="48" borderId="19" xfId="0" applyNumberFormat="1" applyFont="1" applyFill="1" applyBorder="1" applyAlignment="1">
      <alignment horizontal="center" vertical="center" wrapText="1"/>
    </xf>
    <xf numFmtId="2" fontId="88" fillId="48" borderId="12" xfId="0" applyNumberFormat="1" applyFont="1" applyFill="1" applyBorder="1" applyAlignment="1">
      <alignment vertical="top" textRotation="44" wrapText="1"/>
    </xf>
    <xf numFmtId="3" fontId="80" fillId="36" borderId="0" xfId="0" applyNumberFormat="1" applyFont="1" applyFill="1" applyAlignment="1">
      <alignment horizontal="center" vertical="center" wrapText="1"/>
    </xf>
    <xf numFmtId="3" fontId="80" fillId="48" borderId="10" xfId="0" applyNumberFormat="1" applyFont="1" applyFill="1" applyBorder="1" applyAlignment="1">
      <alignment horizontal="center" vertical="center" wrapText="1"/>
    </xf>
    <xf numFmtId="3" fontId="83" fillId="48" borderId="10" xfId="0" applyNumberFormat="1" applyFont="1" applyFill="1" applyBorder="1" applyAlignment="1">
      <alignment horizontal="center" vertical="center" wrapText="1"/>
    </xf>
    <xf numFmtId="2" fontId="80" fillId="48" borderId="0" xfId="0" applyNumberFormat="1" applyFont="1" applyFill="1" applyAlignment="1">
      <alignment horizontal="center" vertical="center" wrapText="1"/>
    </xf>
    <xf numFmtId="2" fontId="82" fillId="46" borderId="10" xfId="0" applyNumberFormat="1" applyFont="1" applyFill="1" applyBorder="1" applyAlignment="1">
      <alignment horizontal="center" vertical="center" wrapText="1"/>
    </xf>
    <xf numFmtId="2" fontId="80" fillId="46" borderId="10" xfId="0" applyNumberFormat="1" applyFont="1" applyFill="1" applyBorder="1" applyAlignment="1">
      <alignment horizontal="center" vertical="center" wrapText="1"/>
    </xf>
    <xf numFmtId="3" fontId="80" fillId="46" borderId="10" xfId="0" applyNumberFormat="1" applyFont="1" applyFill="1" applyBorder="1" applyAlignment="1">
      <alignment horizontal="center" vertical="center" shrinkToFit="1"/>
    </xf>
    <xf numFmtId="9" fontId="65" fillId="37" borderId="10" xfId="0" applyNumberFormat="1" applyFont="1" applyFill="1" applyBorder="1" applyAlignment="1" applyProtection="1">
      <alignment horizontal="center" vertical="center"/>
      <protection/>
    </xf>
    <xf numFmtId="0" fontId="65" fillId="37" borderId="10" xfId="0" applyFont="1" applyFill="1" applyBorder="1" applyAlignment="1" applyProtection="1">
      <alignment horizontal="center" vertical="center"/>
      <protection/>
    </xf>
    <xf numFmtId="205" fontId="65" fillId="37" borderId="10" xfId="42" applyNumberFormat="1" applyFont="1" applyFill="1" applyBorder="1" applyAlignment="1" applyProtection="1">
      <alignment horizontal="center" vertical="center"/>
      <protection/>
    </xf>
    <xf numFmtId="228" fontId="0" fillId="0" borderId="0" xfId="0" applyNumberFormat="1" applyAlignment="1">
      <alignment/>
    </xf>
    <xf numFmtId="3" fontId="74" fillId="41" borderId="0" xfId="0" applyNumberFormat="1" applyFont="1" applyFill="1" applyAlignment="1" applyProtection="1">
      <alignment horizontal="center" vertical="center" wrapText="1"/>
      <protection/>
    </xf>
    <xf numFmtId="0" fontId="66" fillId="39" borderId="10" xfId="0" applyFont="1" applyFill="1" applyBorder="1" applyAlignment="1" applyProtection="1">
      <alignment horizontal="center"/>
      <protection/>
    </xf>
    <xf numFmtId="3" fontId="80" fillId="46" borderId="10" xfId="0" applyNumberFormat="1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69" fillId="49" borderId="0" xfId="0" applyFont="1" applyFill="1" applyBorder="1" applyAlignment="1" applyProtection="1">
      <alignment horizontal="center" vertical="center"/>
      <protection/>
    </xf>
    <xf numFmtId="3" fontId="69" fillId="49" borderId="11" xfId="0" applyNumberFormat="1" applyFont="1" applyFill="1" applyBorder="1" applyAlignment="1" applyProtection="1">
      <alignment horizontal="right" vertical="center" shrinkToFit="1"/>
      <protection/>
    </xf>
    <xf numFmtId="3" fontId="80" fillId="46" borderId="10" xfId="0" applyNumberFormat="1" applyFont="1" applyFill="1" applyBorder="1" applyAlignment="1">
      <alignment horizontal="center" vertical="center" wrapText="1"/>
    </xf>
    <xf numFmtId="3" fontId="80" fillId="48" borderId="10" xfId="0" applyNumberFormat="1" applyFont="1" applyFill="1" applyBorder="1" applyAlignment="1">
      <alignment horizontal="center" vertical="center" wrapText="1"/>
    </xf>
    <xf numFmtId="0" fontId="63" fillId="50" borderId="0" xfId="0" applyFont="1" applyFill="1" applyAlignment="1" applyProtection="1">
      <alignment/>
      <protection/>
    </xf>
    <xf numFmtId="0" fontId="65" fillId="50" borderId="0" xfId="0" applyFont="1" applyFill="1" applyAlignment="1" applyProtection="1">
      <alignment horizontal="center" vertical="top"/>
      <protection/>
    </xf>
    <xf numFmtId="0" fontId="63" fillId="50" borderId="0" xfId="0" applyFont="1" applyFill="1" applyAlignment="1" applyProtection="1">
      <alignment horizontal="center" vertical="center"/>
      <protection/>
    </xf>
    <xf numFmtId="176" fontId="69" fillId="50" borderId="0" xfId="0" applyNumberFormat="1" applyFont="1" applyFill="1" applyBorder="1" applyAlignment="1" applyProtection="1">
      <alignment horizontal="center" vertical="center"/>
      <protection/>
    </xf>
    <xf numFmtId="0" fontId="63" fillId="50" borderId="0" xfId="0" applyFont="1" applyFill="1" applyAlignment="1" applyProtection="1">
      <alignment horizontal="right" vertical="center" wrapText="1"/>
      <protection/>
    </xf>
    <xf numFmtId="0" fontId="64" fillId="50" borderId="0" xfId="0" applyNumberFormat="1" applyFont="1" applyFill="1" applyAlignment="1" applyProtection="1">
      <alignment horizontal="right" vertical="center" wrapText="1"/>
      <protection/>
    </xf>
    <xf numFmtId="223" fontId="79" fillId="47" borderId="10" xfId="0" applyNumberFormat="1" applyFont="1" applyFill="1" applyBorder="1" applyAlignment="1">
      <alignment horizontal="center" vertical="center" shrinkToFit="1"/>
    </xf>
    <xf numFmtId="3" fontId="86" fillId="47" borderId="10" xfId="0" applyNumberFormat="1" applyFont="1" applyFill="1" applyBorder="1" applyAlignment="1">
      <alignment horizontal="center" vertical="center" shrinkToFit="1"/>
    </xf>
    <xf numFmtId="3" fontId="82" fillId="48" borderId="19" xfId="0" applyNumberFormat="1" applyFont="1" applyFill="1" applyBorder="1" applyAlignment="1">
      <alignment horizontal="center" vertical="center" wrapText="1" shrinkToFit="1"/>
    </xf>
    <xf numFmtId="3" fontId="80" fillId="48" borderId="10" xfId="0" applyNumberFormat="1" applyFont="1" applyFill="1" applyBorder="1" applyAlignment="1">
      <alignment horizontal="center" vertical="center" wrapText="1" shrinkToFit="1"/>
    </xf>
    <xf numFmtId="3" fontId="83" fillId="48" borderId="10" xfId="0" applyNumberFormat="1" applyFont="1" applyFill="1" applyBorder="1" applyAlignment="1">
      <alignment horizontal="center" vertical="center" wrapText="1" shrinkToFit="1"/>
    </xf>
    <xf numFmtId="0" fontId="70" fillId="50" borderId="0" xfId="0" applyFont="1" applyFill="1" applyBorder="1" applyAlignment="1" applyProtection="1">
      <alignment horizontal="right" vertical="center" shrinkToFit="1"/>
      <protection/>
    </xf>
    <xf numFmtId="0" fontId="63" fillId="33" borderId="0" xfId="0" applyFont="1" applyFill="1" applyAlignment="1" applyProtection="1">
      <alignment horizontal="right" vertical="center" shrinkToFit="1"/>
      <protection/>
    </xf>
    <xf numFmtId="3" fontId="90" fillId="40" borderId="11" xfId="0" applyNumberFormat="1" applyFont="1" applyFill="1" applyBorder="1" applyAlignment="1" applyProtection="1">
      <alignment horizontal="right" vertical="center" shrinkToFit="1"/>
      <protection/>
    </xf>
    <xf numFmtId="3" fontId="69" fillId="51" borderId="11" xfId="0" applyNumberFormat="1" applyFont="1" applyFill="1" applyBorder="1" applyAlignment="1" applyProtection="1">
      <alignment horizontal="right" vertical="center" shrinkToFit="1"/>
      <protection/>
    </xf>
    <xf numFmtId="3" fontId="90" fillId="51" borderId="20" xfId="0" applyNumberFormat="1" applyFont="1" applyFill="1" applyBorder="1" applyAlignment="1" applyProtection="1">
      <alignment horizontal="right" vertical="center" shrinkToFit="1"/>
      <protection/>
    </xf>
    <xf numFmtId="3" fontId="90" fillId="50" borderId="0" xfId="0" applyNumberFormat="1" applyFont="1" applyFill="1" applyBorder="1" applyAlignment="1" applyProtection="1">
      <alignment horizontal="right" vertical="center" shrinkToFit="1"/>
      <protection/>
    </xf>
    <xf numFmtId="0" fontId="91" fillId="52" borderId="0" xfId="0" applyFont="1" applyFill="1" applyAlignment="1" applyProtection="1">
      <alignment horizontal="right" vertical="center" shrinkToFit="1"/>
      <protection/>
    </xf>
    <xf numFmtId="0" fontId="63" fillId="40" borderId="0" xfId="0" applyFont="1" applyFill="1" applyAlignment="1" applyProtection="1">
      <alignment horizontal="right" vertical="center" shrinkToFit="1"/>
      <protection/>
    </xf>
    <xf numFmtId="0" fontId="63" fillId="51" borderId="0" xfId="0" applyFont="1" applyFill="1" applyAlignment="1" applyProtection="1">
      <alignment horizontal="right" vertical="center" shrinkToFit="1"/>
      <protection/>
    </xf>
    <xf numFmtId="0" fontId="63" fillId="50" borderId="0" xfId="0" applyFont="1" applyFill="1" applyAlignment="1" applyProtection="1">
      <alignment horizontal="right" vertical="center" shrinkToFit="1"/>
      <protection/>
    </xf>
    <xf numFmtId="0" fontId="63" fillId="40" borderId="11" xfId="0" applyFont="1" applyFill="1" applyBorder="1" applyAlignment="1" applyProtection="1">
      <alignment horizontal="right" vertical="center" shrinkToFit="1"/>
      <protection/>
    </xf>
    <xf numFmtId="0" fontId="63" fillId="51" borderId="20" xfId="0" applyFont="1" applyFill="1" applyBorder="1" applyAlignment="1" applyProtection="1">
      <alignment horizontal="right" vertical="center" shrinkToFit="1"/>
      <protection/>
    </xf>
    <xf numFmtId="0" fontId="63" fillId="50" borderId="0" xfId="0" applyFont="1" applyFill="1" applyBorder="1" applyAlignment="1" applyProtection="1">
      <alignment horizontal="right" vertical="center" shrinkToFit="1"/>
      <protection/>
    </xf>
    <xf numFmtId="3" fontId="90" fillId="33" borderId="0" xfId="0" applyNumberFormat="1" applyFont="1" applyFill="1" applyAlignment="1" applyProtection="1">
      <alignment horizontal="right" vertical="center" shrinkToFit="1"/>
      <protection/>
    </xf>
    <xf numFmtId="3" fontId="90" fillId="49" borderId="11" xfId="0" applyNumberFormat="1" applyFont="1" applyFill="1" applyBorder="1" applyAlignment="1" applyProtection="1">
      <alignment horizontal="right" vertical="center" shrinkToFit="1"/>
      <protection/>
    </xf>
    <xf numFmtId="3" fontId="90" fillId="49" borderId="2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horizontal="center" vertical="center" wrapText="1"/>
    </xf>
    <xf numFmtId="0" fontId="92" fillId="53" borderId="0" xfId="0" applyFont="1" applyFill="1" applyAlignment="1">
      <alignment horizontal="center" vertical="center"/>
    </xf>
    <xf numFmtId="0" fontId="93" fillId="0" borderId="0" xfId="0" applyFont="1" applyAlignment="1">
      <alignment horizontal="right"/>
    </xf>
    <xf numFmtId="0" fontId="70" fillId="49" borderId="21" xfId="0" applyFont="1" applyFill="1" applyBorder="1" applyAlignment="1" applyProtection="1">
      <alignment horizontal="right" vertical="center" shrinkToFit="1"/>
      <protection/>
    </xf>
    <xf numFmtId="0" fontId="70" fillId="49" borderId="22" xfId="0" applyFont="1" applyFill="1" applyBorder="1" applyAlignment="1" applyProtection="1">
      <alignment horizontal="right" vertical="center" shrinkToFit="1"/>
      <protection/>
    </xf>
    <xf numFmtId="0" fontId="91" fillId="49" borderId="23" xfId="0" applyFont="1" applyFill="1" applyBorder="1" applyAlignment="1" applyProtection="1">
      <alignment horizontal="right" vertical="center" shrinkToFit="1"/>
      <protection/>
    </xf>
    <xf numFmtId="0" fontId="91" fillId="49" borderId="24" xfId="0" applyFont="1" applyFill="1" applyBorder="1" applyAlignment="1" applyProtection="1">
      <alignment horizontal="right" vertical="center" shrinkToFit="1"/>
      <protection/>
    </xf>
    <xf numFmtId="0" fontId="65" fillId="33" borderId="0" xfId="0" applyFont="1" applyFill="1" applyAlignment="1" applyProtection="1">
      <alignment horizontal="center" vertical="top"/>
      <protection/>
    </xf>
    <xf numFmtId="0" fontId="70" fillId="12" borderId="10" xfId="0" applyFont="1" applyFill="1" applyBorder="1" applyAlignment="1" applyProtection="1">
      <alignment horizontal="center" vertical="center"/>
      <protection/>
    </xf>
    <xf numFmtId="176" fontId="69" fillId="34" borderId="13" xfId="0" applyNumberFormat="1" applyFont="1" applyFill="1" applyBorder="1" applyAlignment="1" applyProtection="1">
      <alignment horizontal="center" vertical="center"/>
      <protection/>
    </xf>
    <xf numFmtId="176" fontId="69" fillId="34" borderId="15" xfId="0" applyNumberFormat="1" applyFont="1" applyFill="1" applyBorder="1" applyAlignment="1" applyProtection="1">
      <alignment horizontal="center" vertical="center"/>
      <protection/>
    </xf>
    <xf numFmtId="0" fontId="70" fillId="51" borderId="21" xfId="0" applyFont="1" applyFill="1" applyBorder="1" applyAlignment="1" applyProtection="1">
      <alignment horizontal="right" vertical="center" shrinkToFit="1"/>
      <protection/>
    </xf>
    <xf numFmtId="0" fontId="70" fillId="51" borderId="22" xfId="0" applyFont="1" applyFill="1" applyBorder="1" applyAlignment="1" applyProtection="1">
      <alignment horizontal="right" vertical="center" shrinkToFit="1"/>
      <protection/>
    </xf>
    <xf numFmtId="0" fontId="63" fillId="33" borderId="0" xfId="0" applyFont="1" applyFill="1" applyAlignment="1" applyProtection="1">
      <alignment horizontal="right" vertical="center" wrapText="1"/>
      <protection/>
    </xf>
    <xf numFmtId="176" fontId="69" fillId="49" borderId="13" xfId="0" applyNumberFormat="1" applyFont="1" applyFill="1" applyBorder="1" applyAlignment="1" applyProtection="1">
      <alignment horizontal="center" vertical="center"/>
      <protection/>
    </xf>
    <xf numFmtId="176" fontId="69" fillId="49" borderId="15" xfId="0" applyNumberFormat="1" applyFont="1" applyFill="1" applyBorder="1" applyAlignment="1" applyProtection="1">
      <alignment horizontal="center" vertical="center"/>
      <protection/>
    </xf>
    <xf numFmtId="0" fontId="70" fillId="40" borderId="21" xfId="0" applyFont="1" applyFill="1" applyBorder="1" applyAlignment="1" applyProtection="1">
      <alignment horizontal="right" vertical="center" shrinkToFit="1"/>
      <protection/>
    </xf>
    <xf numFmtId="0" fontId="91" fillId="52" borderId="23" xfId="0" applyFont="1" applyFill="1" applyBorder="1" applyAlignment="1" applyProtection="1">
      <alignment horizontal="right" vertical="center" shrinkToFit="1"/>
      <protection/>
    </xf>
    <xf numFmtId="0" fontId="91" fillId="52" borderId="24" xfId="0" applyFont="1" applyFill="1" applyBorder="1" applyAlignment="1" applyProtection="1">
      <alignment horizontal="right" vertical="center" shrinkToFit="1"/>
      <protection/>
    </xf>
    <xf numFmtId="3" fontId="74" fillId="41" borderId="0" xfId="0" applyNumberFormat="1" applyFont="1" applyFill="1" applyAlignment="1" applyProtection="1">
      <alignment horizontal="center" vertical="center" wrapText="1"/>
      <protection/>
    </xf>
    <xf numFmtId="3" fontId="70" fillId="54" borderId="25" xfId="0" applyNumberFormat="1" applyFont="1" applyFill="1" applyBorder="1" applyAlignment="1" applyProtection="1">
      <alignment horizontal="center" wrapText="1"/>
      <protection/>
    </xf>
    <xf numFmtId="0" fontId="66" fillId="39" borderId="13" xfId="0" applyFont="1" applyFill="1" applyBorder="1" applyAlignment="1" applyProtection="1">
      <alignment horizontal="center"/>
      <protection/>
    </xf>
    <xf numFmtId="0" fontId="66" fillId="39" borderId="26" xfId="0" applyFont="1" applyFill="1" applyBorder="1" applyAlignment="1" applyProtection="1">
      <alignment horizontal="center"/>
      <protection/>
    </xf>
    <xf numFmtId="0" fontId="66" fillId="39" borderId="15" xfId="0" applyFont="1" applyFill="1" applyBorder="1" applyAlignment="1" applyProtection="1">
      <alignment horizontal="center"/>
      <protection/>
    </xf>
    <xf numFmtId="0" fontId="67" fillId="0" borderId="0" xfId="0" applyNumberFormat="1" applyFont="1" applyFill="1" applyAlignment="1" applyProtection="1">
      <alignment horizontal="right" vertical="center" wrapText="1"/>
      <protection/>
    </xf>
    <xf numFmtId="0" fontId="85" fillId="47" borderId="13" xfId="0" applyFont="1" applyFill="1" applyBorder="1" applyAlignment="1">
      <alignment horizontal="center"/>
    </xf>
    <xf numFmtId="0" fontId="85" fillId="47" borderId="26" xfId="0" applyFont="1" applyFill="1" applyBorder="1" applyAlignment="1">
      <alignment horizontal="center"/>
    </xf>
    <xf numFmtId="0" fontId="85" fillId="47" borderId="15" xfId="0" applyFont="1" applyFill="1" applyBorder="1" applyAlignment="1">
      <alignment horizontal="center"/>
    </xf>
    <xf numFmtId="0" fontId="81" fillId="0" borderId="0" xfId="0" applyFont="1" applyFill="1" applyAlignment="1">
      <alignment horizontal="right" vertical="center" wrapText="1"/>
    </xf>
    <xf numFmtId="3" fontId="80" fillId="46" borderId="10" xfId="0" applyNumberFormat="1" applyFont="1" applyFill="1" applyBorder="1" applyAlignment="1">
      <alignment horizontal="center" vertical="center" wrapText="1"/>
    </xf>
    <xf numFmtId="3" fontId="88" fillId="55" borderId="10" xfId="0" applyNumberFormat="1" applyFont="1" applyFill="1" applyBorder="1" applyAlignment="1">
      <alignment horizontal="center" wrapText="1"/>
    </xf>
    <xf numFmtId="3" fontId="82" fillId="0" borderId="10" xfId="0" applyNumberFormat="1" applyFont="1" applyFill="1" applyBorder="1" applyAlignment="1">
      <alignment horizontal="center" vertical="center" wrapText="1"/>
    </xf>
    <xf numFmtId="3" fontId="80" fillId="48" borderId="10" xfId="0" applyNumberFormat="1" applyFont="1" applyFill="1" applyBorder="1" applyAlignment="1">
      <alignment horizontal="center" vertical="center" wrapText="1"/>
    </xf>
    <xf numFmtId="3" fontId="70" fillId="8" borderId="25" xfId="0" applyNumberFormat="1" applyFont="1" applyFill="1" applyBorder="1" applyAlignment="1" applyProtection="1">
      <alignment horizontal="center" wrapText="1"/>
      <protection/>
    </xf>
    <xf numFmtId="0" fontId="67" fillId="56" borderId="0" xfId="0" applyNumberFormat="1" applyFont="1" applyFill="1" applyAlignment="1" applyProtection="1">
      <alignment horizontal="right" vertical="center" wrapText="1"/>
      <protection/>
    </xf>
    <xf numFmtId="3" fontId="88" fillId="57" borderId="25" xfId="0" applyNumberFormat="1" applyFont="1" applyFill="1" applyBorder="1" applyAlignment="1">
      <alignment horizontal="center" wrapText="1"/>
    </xf>
    <xf numFmtId="0" fontId="81" fillId="0" borderId="0" xfId="0" applyFont="1" applyAlignment="1">
      <alignment horizontal="right" vertical="center" wrapText="1"/>
    </xf>
    <xf numFmtId="3" fontId="81" fillId="0" borderId="27" xfId="0" applyNumberFormat="1" applyFont="1" applyFill="1" applyBorder="1" applyAlignment="1">
      <alignment horizontal="center" vertical="center" wrapText="1"/>
    </xf>
    <xf numFmtId="3" fontId="81" fillId="0" borderId="28" xfId="0" applyNumberFormat="1" applyFont="1" applyFill="1" applyBorder="1" applyAlignment="1">
      <alignment horizontal="center" vertical="center" wrapText="1"/>
    </xf>
    <xf numFmtId="3" fontId="81" fillId="0" borderId="29" xfId="0" applyNumberFormat="1" applyFont="1" applyFill="1" applyBorder="1" applyAlignment="1">
      <alignment horizontal="center" vertical="center" wrapText="1"/>
    </xf>
    <xf numFmtId="3" fontId="81" fillId="0" borderId="17" xfId="0" applyNumberFormat="1" applyFont="1" applyFill="1" applyBorder="1" applyAlignment="1">
      <alignment horizontal="center" vertical="center" wrapText="1"/>
    </xf>
    <xf numFmtId="3" fontId="81" fillId="0" borderId="25" xfId="0" applyNumberFormat="1" applyFont="1" applyFill="1" applyBorder="1" applyAlignment="1">
      <alignment horizontal="center" vertical="center" wrapText="1"/>
    </xf>
    <xf numFmtId="3" fontId="81" fillId="0" borderId="18" xfId="0" applyNumberFormat="1" applyFont="1" applyFill="1" applyBorder="1" applyAlignment="1">
      <alignment horizontal="center" vertical="center" wrapText="1"/>
    </xf>
    <xf numFmtId="0" fontId="65" fillId="37" borderId="13" xfId="0" applyFont="1" applyFill="1" applyBorder="1" applyAlignment="1" applyProtection="1">
      <alignment horizontal="center" vertical="center"/>
      <protection/>
    </xf>
    <xf numFmtId="0" fontId="65" fillId="37" borderId="26" xfId="0" applyFont="1" applyFill="1" applyBorder="1" applyAlignment="1" applyProtection="1">
      <alignment horizontal="center" vertical="center"/>
      <protection/>
    </xf>
    <xf numFmtId="0" fontId="65" fillId="37" borderId="15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right" vertical="center"/>
      <protection/>
    </xf>
    <xf numFmtId="0" fontId="66" fillId="34" borderId="15" xfId="0" applyFont="1" applyFill="1" applyBorder="1" applyAlignment="1" applyProtection="1">
      <alignment horizontal="right" vertical="center"/>
      <protection/>
    </xf>
    <xf numFmtId="0" fontId="66" fillId="35" borderId="13" xfId="0" applyFont="1" applyFill="1" applyBorder="1" applyAlignment="1" applyProtection="1">
      <alignment horizontal="center"/>
      <protection/>
    </xf>
    <xf numFmtId="0" fontId="66" fillId="35" borderId="26" xfId="0" applyFont="1" applyFill="1" applyBorder="1" applyAlignment="1" applyProtection="1">
      <alignment horizontal="center"/>
      <protection/>
    </xf>
    <xf numFmtId="0" fontId="66" fillId="35" borderId="15" xfId="0" applyFont="1" applyFill="1" applyBorder="1" applyAlignment="1" applyProtection="1">
      <alignment horizontal="center"/>
      <protection/>
    </xf>
    <xf numFmtId="0" fontId="63" fillId="35" borderId="13" xfId="0" applyFont="1" applyFill="1" applyBorder="1" applyAlignment="1" applyProtection="1">
      <alignment horizontal="center"/>
      <protection/>
    </xf>
    <xf numFmtId="0" fontId="63" fillId="35" borderId="26" xfId="0" applyFont="1" applyFill="1" applyBorder="1" applyAlignment="1" applyProtection="1">
      <alignment horizontal="center"/>
      <protection/>
    </xf>
    <xf numFmtId="0" fontId="63" fillId="35" borderId="15" xfId="0" applyFont="1" applyFill="1" applyBorder="1" applyAlignment="1" applyProtection="1">
      <alignment horizontal="center"/>
      <protection/>
    </xf>
    <xf numFmtId="0" fontId="66" fillId="35" borderId="13" xfId="0" applyFont="1" applyFill="1" applyBorder="1" applyAlignment="1" applyProtection="1">
      <alignment horizontal="right"/>
      <protection/>
    </xf>
    <xf numFmtId="0" fontId="66" fillId="35" borderId="26" xfId="0" applyFont="1" applyFill="1" applyBorder="1" applyAlignment="1" applyProtection="1">
      <alignment horizontal="right"/>
      <protection/>
    </xf>
    <xf numFmtId="0" fontId="66" fillId="35" borderId="15" xfId="0" applyFont="1" applyFill="1" applyBorder="1" applyAlignment="1" applyProtection="1">
      <alignment horizontal="right"/>
      <protection/>
    </xf>
    <xf numFmtId="0" fontId="66" fillId="36" borderId="13" xfId="0" applyFont="1" applyFill="1" applyBorder="1" applyAlignment="1" applyProtection="1">
      <alignment horizontal="right" vertical="center"/>
      <protection/>
    </xf>
    <xf numFmtId="0" fontId="66" fillId="36" borderId="26" xfId="0" applyFont="1" applyFill="1" applyBorder="1" applyAlignment="1" applyProtection="1">
      <alignment horizontal="right" vertical="center"/>
      <protection/>
    </xf>
    <xf numFmtId="0" fontId="66" fillId="36" borderId="15" xfId="0" applyFont="1" applyFill="1" applyBorder="1" applyAlignment="1" applyProtection="1">
      <alignment horizontal="right" vertical="center"/>
      <protection/>
    </xf>
    <xf numFmtId="0" fontId="72" fillId="58" borderId="0" xfId="0" applyFont="1" applyFill="1" applyBorder="1" applyAlignment="1" applyProtection="1">
      <alignment horizontal="right" vertical="center" wrapText="1"/>
      <protection/>
    </xf>
    <xf numFmtId="0" fontId="66" fillId="34" borderId="13" xfId="0" applyFont="1" applyFill="1" applyBorder="1" applyAlignment="1" applyProtection="1">
      <alignment horizontal="right"/>
      <protection/>
    </xf>
    <xf numFmtId="0" fontId="66" fillId="34" borderId="15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70" fillId="59" borderId="0" xfId="0" applyFont="1" applyFill="1" applyAlignment="1" applyProtection="1">
      <alignment horizontal="center" vertical="center" wrapText="1"/>
      <protection/>
    </xf>
    <xf numFmtId="0" fontId="63" fillId="18" borderId="10" xfId="0" applyFont="1" applyFill="1" applyBorder="1" applyAlignment="1" applyProtection="1">
      <alignment horizontal="center"/>
      <protection/>
    </xf>
    <xf numFmtId="0" fontId="66" fillId="37" borderId="16" xfId="0" applyFont="1" applyFill="1" applyBorder="1" applyAlignment="1" applyProtection="1">
      <alignment horizontal="center" vertical="center" wrapText="1"/>
      <protection/>
    </xf>
    <xf numFmtId="0" fontId="66" fillId="37" borderId="30" xfId="0" applyFont="1" applyFill="1" applyBorder="1" applyAlignment="1" applyProtection="1">
      <alignment horizontal="center" vertical="center" wrapText="1"/>
      <protection/>
    </xf>
    <xf numFmtId="0" fontId="66" fillId="37" borderId="19" xfId="0" applyFont="1" applyFill="1" applyBorder="1" applyAlignment="1" applyProtection="1">
      <alignment horizontal="center" vertical="center" wrapText="1"/>
      <protection/>
    </xf>
    <xf numFmtId="0" fontId="66" fillId="37" borderId="16" xfId="0" applyFont="1" applyFill="1" applyBorder="1" applyAlignment="1" applyProtection="1">
      <alignment horizontal="center" vertical="center"/>
      <protection/>
    </xf>
    <xf numFmtId="0" fontId="66" fillId="37" borderId="30" xfId="0" applyFont="1" applyFill="1" applyBorder="1" applyAlignment="1" applyProtection="1">
      <alignment horizontal="center" vertical="center"/>
      <protection/>
    </xf>
    <xf numFmtId="0" fontId="66" fillId="37" borderId="19" xfId="0" applyFont="1" applyFill="1" applyBorder="1" applyAlignment="1" applyProtection="1">
      <alignment horizontal="center" vertical="center"/>
      <protection/>
    </xf>
    <xf numFmtId="9" fontId="66" fillId="37" borderId="16" xfId="0" applyNumberFormat="1" applyFont="1" applyFill="1" applyBorder="1" applyAlignment="1" applyProtection="1">
      <alignment horizontal="center" vertical="center"/>
      <protection/>
    </xf>
    <xf numFmtId="0" fontId="66" fillId="37" borderId="13" xfId="0" applyFont="1" applyFill="1" applyBorder="1" applyAlignment="1" applyProtection="1">
      <alignment horizontal="center"/>
      <protection/>
    </xf>
    <xf numFmtId="0" fontId="66" fillId="37" borderId="26" xfId="0" applyFont="1" applyFill="1" applyBorder="1" applyAlignment="1" applyProtection="1">
      <alignment horizontal="center"/>
      <protection/>
    </xf>
    <xf numFmtId="0" fontId="66" fillId="37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8</xdr:col>
      <xdr:colOff>28575</xdr:colOff>
      <xdr:row>26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88632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33FF"/>
  </sheetPr>
  <dimension ref="B1:M44"/>
  <sheetViews>
    <sheetView showGridLines="0" showRowColHeaders="0" rightToLeft="1" zoomScalePageLayoutView="0" workbookViewId="0" topLeftCell="A1">
      <selection activeCell="C23" sqref="C23"/>
    </sheetView>
  </sheetViews>
  <sheetFormatPr defaultColWidth="9.00390625" defaultRowHeight="15"/>
  <cols>
    <col min="1" max="1" width="11.28125" style="77" customWidth="1"/>
    <col min="2" max="2" width="70.7109375" style="77" customWidth="1"/>
    <col min="3" max="3" width="20.7109375" style="77" customWidth="1"/>
    <col min="4" max="4" width="10.421875" style="137" customWidth="1"/>
    <col min="5" max="5" width="9.00390625" style="77" customWidth="1"/>
    <col min="6" max="18" width="9.00390625" style="77" hidden="1" customWidth="1"/>
    <col min="19" max="20" width="9.00390625" style="77" customWidth="1"/>
    <col min="21" max="16384" width="9.00390625" style="77" customWidth="1"/>
  </cols>
  <sheetData>
    <row r="1" spans="2:4" ht="31.5" customHeight="1">
      <c r="B1" s="199" t="s">
        <v>146</v>
      </c>
      <c r="C1" s="199"/>
      <c r="D1" s="199"/>
    </row>
    <row r="2" spans="2:4" ht="31.5" customHeight="1" hidden="1">
      <c r="B2" s="78"/>
      <c r="C2" s="78"/>
      <c r="D2" s="136"/>
    </row>
    <row r="3" spans="2:6" ht="31.5" customHeight="1" hidden="1">
      <c r="B3" s="78"/>
      <c r="C3" s="78"/>
      <c r="D3" s="136"/>
      <c r="E3" s="198"/>
      <c r="F3" s="198"/>
    </row>
    <row r="4" spans="2:6" ht="31.5" customHeight="1">
      <c r="B4" s="165" t="s">
        <v>155</v>
      </c>
      <c r="C4" s="144"/>
      <c r="D4" s="147"/>
      <c r="E4" s="198"/>
      <c r="F4" s="198"/>
    </row>
    <row r="5" spans="2:6" ht="31.5" customHeight="1">
      <c r="B5" s="138" t="s">
        <v>91</v>
      </c>
      <c r="C5" s="145">
        <v>300000000</v>
      </c>
      <c r="D5" s="146" t="s">
        <v>116</v>
      </c>
      <c r="E5" s="198"/>
      <c r="F5" s="198"/>
    </row>
    <row r="6" spans="2:6" ht="15.75" customHeight="1" hidden="1">
      <c r="B6" s="80"/>
      <c r="C6" s="81" t="s">
        <v>92</v>
      </c>
      <c r="D6" s="136"/>
      <c r="E6" s="6"/>
      <c r="F6" s="6"/>
    </row>
    <row r="7" spans="2:6" ht="15.75" customHeight="1" hidden="1">
      <c r="B7" s="80"/>
      <c r="C7" s="81" t="s">
        <v>93</v>
      </c>
      <c r="D7" s="136"/>
      <c r="E7" s="6"/>
      <c r="F7" s="6"/>
    </row>
    <row r="8" spans="2:6" ht="15.75" customHeight="1" hidden="1">
      <c r="B8" s="80"/>
      <c r="C8" s="81" t="s">
        <v>6</v>
      </c>
      <c r="D8" s="136"/>
      <c r="E8" s="6"/>
      <c r="F8" s="6"/>
    </row>
    <row r="9" spans="2:6" ht="15.75" customHeight="1" hidden="1">
      <c r="B9" s="80"/>
      <c r="C9" s="81" t="s">
        <v>94</v>
      </c>
      <c r="D9" s="136"/>
      <c r="E9" s="6"/>
      <c r="F9" s="6"/>
    </row>
    <row r="10" spans="2:6" ht="15.75" customHeight="1" hidden="1">
      <c r="B10" s="80"/>
      <c r="C10" s="81" t="s">
        <v>7</v>
      </c>
      <c r="D10" s="136"/>
      <c r="E10" s="6"/>
      <c r="F10" s="6"/>
    </row>
    <row r="11" spans="2:6" ht="15.75" customHeight="1" hidden="1">
      <c r="B11" s="80"/>
      <c r="C11" s="81" t="s">
        <v>95</v>
      </c>
      <c r="D11" s="136"/>
      <c r="E11" s="6"/>
      <c r="F11" s="6"/>
    </row>
    <row r="12" spans="2:6" ht="15.75" customHeight="1" hidden="1">
      <c r="B12" s="80"/>
      <c r="C12" s="81" t="s">
        <v>8</v>
      </c>
      <c r="D12" s="136"/>
      <c r="E12" s="6"/>
      <c r="F12" s="6"/>
    </row>
    <row r="13" spans="2:6" ht="15.75" customHeight="1" hidden="1">
      <c r="B13" s="80"/>
      <c r="C13" s="81" t="s">
        <v>9</v>
      </c>
      <c r="D13" s="136"/>
      <c r="E13" s="6"/>
      <c r="F13" s="6"/>
    </row>
    <row r="14" spans="2:6" ht="15.75" customHeight="1" hidden="1">
      <c r="B14" s="80"/>
      <c r="C14" s="81" t="s">
        <v>10</v>
      </c>
      <c r="D14" s="136"/>
      <c r="E14" s="6"/>
      <c r="F14" s="6"/>
    </row>
    <row r="15" spans="2:4" ht="15.75" customHeight="1" hidden="1">
      <c r="B15" s="78"/>
      <c r="C15" s="78" t="s">
        <v>96</v>
      </c>
      <c r="D15" s="136"/>
    </row>
    <row r="16" spans="2:4" ht="15.75" customHeight="1" hidden="1">
      <c r="B16" s="78"/>
      <c r="C16" s="78" t="s">
        <v>11</v>
      </c>
      <c r="D16" s="136"/>
    </row>
    <row r="17" spans="2:4" ht="8.25" customHeight="1">
      <c r="B17" s="78"/>
      <c r="C17" s="82" t="s">
        <v>12</v>
      </c>
      <c r="D17" s="136"/>
    </row>
    <row r="18" spans="2:4" ht="8.25" customHeight="1">
      <c r="B18" s="83"/>
      <c r="C18" s="84" t="s">
        <v>92</v>
      </c>
      <c r="D18" s="136"/>
    </row>
    <row r="19" spans="2:12" ht="22.5" customHeight="1">
      <c r="B19" s="79" t="s">
        <v>154</v>
      </c>
      <c r="C19" s="85" t="s">
        <v>93</v>
      </c>
      <c r="K19" s="77" t="s">
        <v>98</v>
      </c>
      <c r="L19" s="77" t="s">
        <v>97</v>
      </c>
    </row>
    <row r="20" spans="2:13" ht="27">
      <c r="B20" s="86" t="s">
        <v>108</v>
      </c>
      <c r="C20" s="70" t="s">
        <v>6</v>
      </c>
      <c r="D20" s="166">
        <f>VLOOKUP(C20,C32:E43,3,0)</f>
        <v>93</v>
      </c>
      <c r="K20" s="77" t="s">
        <v>92</v>
      </c>
      <c r="L20" s="77">
        <v>31</v>
      </c>
      <c r="M20" s="77">
        <f>L20</f>
        <v>31</v>
      </c>
    </row>
    <row r="21" spans="2:13" ht="23.25" customHeight="1" hidden="1">
      <c r="B21" s="86" t="s">
        <v>99</v>
      </c>
      <c r="C21" s="141">
        <f>VLOOKUP(C20,K20:M31,3,0)</f>
        <v>93</v>
      </c>
      <c r="D21" s="136"/>
      <c r="K21" s="77" t="s">
        <v>93</v>
      </c>
      <c r="L21" s="77">
        <v>31</v>
      </c>
      <c r="M21" s="77">
        <f>L20+L21</f>
        <v>62</v>
      </c>
    </row>
    <row r="22" spans="2:13" ht="27">
      <c r="B22" s="139" t="s">
        <v>100</v>
      </c>
      <c r="C22" s="142">
        <v>600000000</v>
      </c>
      <c r="D22" s="143" t="s">
        <v>116</v>
      </c>
      <c r="K22" s="77" t="s">
        <v>6</v>
      </c>
      <c r="L22" s="77">
        <v>31</v>
      </c>
      <c r="M22" s="77">
        <f>L20+L21+L22</f>
        <v>93</v>
      </c>
    </row>
    <row r="23" spans="2:13" ht="27">
      <c r="B23" s="139" t="s">
        <v>101</v>
      </c>
      <c r="C23" s="142">
        <v>300000000</v>
      </c>
      <c r="D23" s="143" t="s">
        <v>116</v>
      </c>
      <c r="K23" s="77" t="s">
        <v>94</v>
      </c>
      <c r="L23" s="77">
        <v>31</v>
      </c>
      <c r="M23" s="77">
        <f>L20+L21+L22+L23</f>
        <v>124</v>
      </c>
    </row>
    <row r="24" spans="2:13" ht="44.25">
      <c r="B24" s="140" t="s">
        <v>105</v>
      </c>
      <c r="C24" s="142">
        <v>40000000</v>
      </c>
      <c r="D24" s="143" t="s">
        <v>116</v>
      </c>
      <c r="K24" s="77" t="s">
        <v>7</v>
      </c>
      <c r="L24" s="77">
        <v>31</v>
      </c>
      <c r="M24" s="77">
        <f>L20+L21+L22+L23+L24</f>
        <v>155</v>
      </c>
    </row>
    <row r="25" spans="11:13" ht="14.25">
      <c r="K25" s="77" t="s">
        <v>95</v>
      </c>
      <c r="L25" s="77">
        <v>31</v>
      </c>
      <c r="M25" s="77">
        <f>L20+L21+L22+L23+L24+L25</f>
        <v>186</v>
      </c>
    </row>
    <row r="26" spans="2:13" ht="17.25">
      <c r="B26" s="200" t="s">
        <v>168</v>
      </c>
      <c r="C26" s="200"/>
      <c r="K26" s="77" t="s">
        <v>8</v>
      </c>
      <c r="L26" s="77">
        <v>30</v>
      </c>
      <c r="M26" s="77">
        <f>L20+L21+L22+L23+L24+L25+L26</f>
        <v>216</v>
      </c>
    </row>
    <row r="27" spans="2:13" ht="15">
      <c r="B27" s="200" t="s">
        <v>167</v>
      </c>
      <c r="C27" s="200"/>
      <c r="K27" s="77" t="s">
        <v>9</v>
      </c>
      <c r="L27" s="77">
        <v>30</v>
      </c>
      <c r="M27" s="77">
        <f>L20+L21+L22+L23+L24+L25+L26+L27</f>
        <v>246</v>
      </c>
    </row>
    <row r="28" spans="11:13" ht="14.25">
      <c r="K28" s="77" t="s">
        <v>10</v>
      </c>
      <c r="L28" s="77">
        <v>30</v>
      </c>
      <c r="M28" s="77">
        <f>L20+L21+L22+L23+L24+L25+L26+L27+L28</f>
        <v>276</v>
      </c>
    </row>
    <row r="29" spans="2:13" ht="32.25">
      <c r="B29" s="87" t="s">
        <v>84</v>
      </c>
      <c r="K29" s="77" t="s">
        <v>96</v>
      </c>
      <c r="L29" s="77">
        <v>30</v>
      </c>
      <c r="M29" s="77">
        <f>L20+L21+L22+L23+L24+L25+L26+L27+L28+L29</f>
        <v>306</v>
      </c>
    </row>
    <row r="30" spans="11:13" ht="14.25" hidden="1">
      <c r="K30" s="77" t="s">
        <v>11</v>
      </c>
      <c r="L30" s="77">
        <v>30</v>
      </c>
      <c r="M30" s="77">
        <f>L20+L21+L22+L23+L24+L25+L26+L27+L28+L29+L30</f>
        <v>336</v>
      </c>
    </row>
    <row r="31" spans="3:13" ht="14.25" hidden="1">
      <c r="C31" s="77" t="s">
        <v>98</v>
      </c>
      <c r="D31" s="137" t="s">
        <v>97</v>
      </c>
      <c r="K31" s="77" t="s">
        <v>12</v>
      </c>
      <c r="L31" s="77">
        <v>30</v>
      </c>
      <c r="M31" s="77">
        <f>L20+L21+L22+L23+L24+L25+L26+L27+L28+L29+L30+L31</f>
        <v>366</v>
      </c>
    </row>
    <row r="32" spans="3:12" ht="14.25" hidden="1">
      <c r="C32" s="77" t="s">
        <v>92</v>
      </c>
      <c r="D32" s="137">
        <v>31</v>
      </c>
      <c r="E32" s="77">
        <v>31</v>
      </c>
      <c r="L32" s="77">
        <f>M31</f>
        <v>366</v>
      </c>
    </row>
    <row r="33" spans="3:5" ht="14.25" hidden="1">
      <c r="C33" s="77" t="s">
        <v>93</v>
      </c>
      <c r="D33" s="137">
        <v>31</v>
      </c>
      <c r="E33" s="77">
        <v>62</v>
      </c>
    </row>
    <row r="34" spans="3:5" ht="14.25" hidden="1">
      <c r="C34" s="77" t="s">
        <v>6</v>
      </c>
      <c r="D34" s="137">
        <v>31</v>
      </c>
      <c r="E34" s="77">
        <v>93</v>
      </c>
    </row>
    <row r="35" spans="3:5" ht="14.25" hidden="1">
      <c r="C35" s="77" t="s">
        <v>94</v>
      </c>
      <c r="D35" s="137">
        <v>31</v>
      </c>
      <c r="E35" s="77">
        <v>124</v>
      </c>
    </row>
    <row r="36" spans="3:5" ht="14.25" hidden="1">
      <c r="C36" s="77" t="s">
        <v>7</v>
      </c>
      <c r="D36" s="137">
        <v>31</v>
      </c>
      <c r="E36" s="77">
        <v>155</v>
      </c>
    </row>
    <row r="37" spans="3:5" ht="14.25" hidden="1">
      <c r="C37" s="77" t="s">
        <v>95</v>
      </c>
      <c r="D37" s="137">
        <v>31</v>
      </c>
      <c r="E37" s="77">
        <v>186</v>
      </c>
    </row>
    <row r="38" spans="3:5" ht="14.25" hidden="1">
      <c r="C38" s="77" t="s">
        <v>8</v>
      </c>
      <c r="D38" s="137">
        <v>30</v>
      </c>
      <c r="E38" s="77">
        <v>216</v>
      </c>
    </row>
    <row r="39" spans="3:5" ht="14.25" hidden="1">
      <c r="C39" s="77" t="s">
        <v>9</v>
      </c>
      <c r="D39" s="137">
        <v>30</v>
      </c>
      <c r="E39" s="77">
        <v>246</v>
      </c>
    </row>
    <row r="40" spans="3:5" ht="14.25" hidden="1">
      <c r="C40" s="77" t="s">
        <v>10</v>
      </c>
      <c r="D40" s="137">
        <v>30</v>
      </c>
      <c r="E40" s="77">
        <v>276</v>
      </c>
    </row>
    <row r="41" spans="3:5" ht="14.25" hidden="1">
      <c r="C41" s="77" t="s">
        <v>96</v>
      </c>
      <c r="D41" s="137">
        <v>30</v>
      </c>
      <c r="E41" s="77">
        <v>306</v>
      </c>
    </row>
    <row r="42" spans="3:5" ht="14.25" hidden="1">
      <c r="C42" s="77" t="s">
        <v>11</v>
      </c>
      <c r="D42" s="137">
        <v>30</v>
      </c>
      <c r="E42" s="77">
        <v>336</v>
      </c>
    </row>
    <row r="43" spans="3:5" ht="14.25" hidden="1">
      <c r="C43" s="77" t="s">
        <v>12</v>
      </c>
      <c r="D43" s="137">
        <v>30</v>
      </c>
      <c r="E43" s="77">
        <v>366</v>
      </c>
    </row>
    <row r="44" ht="14.25" hidden="1">
      <c r="D44" s="137">
        <v>366</v>
      </c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</sheetData>
  <sheetProtection password="80FE" sheet="1" selectLockedCells="1"/>
  <mergeCells count="4">
    <mergeCell ref="E3:F5"/>
    <mergeCell ref="B1:D1"/>
    <mergeCell ref="B26:C26"/>
    <mergeCell ref="B27:C27"/>
  </mergeCells>
  <dataValidations count="2">
    <dataValidation type="list" showInputMessage="1" showErrorMessage="1" errorTitle="توجه" error="لطفا&quot; فقط از منوی کشویی ماه مورد نظر را انتخاب فرمایید.&#10;          &#10;                            با سپاس" sqref="C20">
      <formula1>$C$32:$C$43</formula1>
    </dataValidation>
    <dataValidation type="whole" allowBlank="1" showInputMessage="1" showErrorMessage="1" errorTitle="توجه" error="لطفا&quot; اعداد را بدون حرف اضافه مانند کاما ، ممیز / و ریال و... وارد نمایید.     &#10;                                                   باسپاس" sqref="C22:C24 C5">
      <formula1>0</formula1>
      <formula2>99999999999</formula2>
    </dataValidation>
  </dataValidations>
  <printOptions horizontalCentered="1" verticalCentered="1"/>
  <pageMargins left="0" right="0" top="0.5511811023622047" bottom="0.5511811023622047" header="0.11811023622047245" footer="0.11811023622047245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W31"/>
  <sheetViews>
    <sheetView showGridLines="0" showRowColHeaders="0" rightToLeft="1" zoomScale="90" zoomScaleNormal="90" workbookViewId="0" topLeftCell="A4">
      <selection activeCell="A5" sqref="A5"/>
    </sheetView>
  </sheetViews>
  <sheetFormatPr defaultColWidth="9.00390625" defaultRowHeight="15"/>
  <cols>
    <col min="1" max="1" width="25.8515625" style="1" customWidth="1"/>
    <col min="2" max="2" width="36.28125" style="1" customWidth="1"/>
    <col min="3" max="3" width="5.00390625" style="1" customWidth="1"/>
    <col min="4" max="4" width="44.7109375" style="1" customWidth="1"/>
    <col min="5" max="5" width="5.00390625" style="1" customWidth="1"/>
    <col min="6" max="6" width="1.421875" style="171" customWidth="1"/>
    <col min="7" max="7" width="12.28125" style="1" hidden="1" customWidth="1"/>
    <col min="8" max="8" width="11.28125" style="1" hidden="1" customWidth="1"/>
    <col min="9" max="9" width="10.8515625" style="1" hidden="1" customWidth="1"/>
    <col min="10" max="10" width="11.00390625" style="1" hidden="1" customWidth="1"/>
    <col min="11" max="11" width="12.00390625" style="1" hidden="1" customWidth="1"/>
    <col min="12" max="12" width="15.7109375" style="1" hidden="1" customWidth="1"/>
    <col min="13" max="13" width="16.28125" style="1" hidden="1" customWidth="1"/>
    <col min="14" max="14" width="18.7109375" style="1" hidden="1" customWidth="1"/>
    <col min="15" max="15" width="19.421875" style="1" hidden="1" customWidth="1"/>
    <col min="16" max="20" width="9.00390625" style="1" hidden="1" customWidth="1"/>
    <col min="21" max="21" width="9.00390625" style="1" customWidth="1"/>
    <col min="22" max="16384" width="9.00390625" style="1" customWidth="1"/>
  </cols>
  <sheetData>
    <row r="1" spans="8:14" ht="36" customHeight="1" hidden="1">
      <c r="H1" s="5">
        <v>97</v>
      </c>
      <c r="I1" s="5">
        <v>98</v>
      </c>
      <c r="J1" s="5">
        <v>99</v>
      </c>
      <c r="K1" s="5">
        <v>1400</v>
      </c>
      <c r="L1" s="5">
        <v>1401</v>
      </c>
      <c r="M1" s="5">
        <v>1402</v>
      </c>
      <c r="N1" s="5">
        <v>1403</v>
      </c>
    </row>
    <row r="2" spans="7:14" ht="36" customHeight="1" hidden="1">
      <c r="G2" s="5" t="s">
        <v>1</v>
      </c>
      <c r="H2" s="4">
        <f>B6</f>
        <v>300000000</v>
      </c>
      <c r="I2" s="4">
        <f>B7</f>
        <v>300000000</v>
      </c>
      <c r="J2" s="4">
        <f>B8</f>
        <v>300000000</v>
      </c>
      <c r="K2" s="4">
        <f>B9</f>
        <v>300000000</v>
      </c>
      <c r="L2" s="44">
        <f>B10</f>
        <v>300000000</v>
      </c>
      <c r="M2" s="44">
        <f>B11</f>
        <v>300000000</v>
      </c>
      <c r="N2" s="44">
        <f>B12</f>
        <v>300000000</v>
      </c>
    </row>
    <row r="3" spans="7:14" ht="34.5" customHeight="1" hidden="1">
      <c r="G3" s="5" t="s">
        <v>2</v>
      </c>
      <c r="H3" s="4">
        <f aca="true" t="shared" si="0" ref="H3:M3">H2*12</f>
        <v>3600000000</v>
      </c>
      <c r="I3" s="4">
        <f t="shared" si="0"/>
        <v>3600000000</v>
      </c>
      <c r="J3" s="4">
        <f t="shared" si="0"/>
        <v>3600000000</v>
      </c>
      <c r="K3" s="4">
        <f t="shared" si="0"/>
        <v>3600000000</v>
      </c>
      <c r="L3" s="44">
        <f t="shared" si="0"/>
        <v>3600000000</v>
      </c>
      <c r="M3" s="44">
        <f t="shared" si="0"/>
        <v>3600000000</v>
      </c>
      <c r="N3" s="44">
        <f>N2*12</f>
        <v>3600000000</v>
      </c>
    </row>
    <row r="4" spans="1:7" ht="30.75" customHeight="1">
      <c r="A4" s="205" t="s">
        <v>107</v>
      </c>
      <c r="B4" s="205"/>
      <c r="C4" s="205"/>
      <c r="D4" s="205"/>
      <c r="E4" s="205"/>
      <c r="F4" s="172"/>
      <c r="G4" s="8"/>
    </row>
    <row r="5" spans="2:6" ht="22.5" customHeight="1">
      <c r="B5" s="206" t="s">
        <v>32</v>
      </c>
      <c r="C5" s="206"/>
      <c r="D5" s="67" t="s">
        <v>153</v>
      </c>
      <c r="E5" s="2"/>
      <c r="F5" s="173"/>
    </row>
    <row r="6" spans="1:15" ht="14.25" customHeight="1">
      <c r="A6" s="41" t="s">
        <v>3</v>
      </c>
      <c r="B6" s="207">
        <f>'ورود اطلاعات اولیه'!C5</f>
        <v>300000000</v>
      </c>
      <c r="C6" s="208"/>
      <c r="D6" s="207">
        <f>H3</f>
        <v>3600000000</v>
      </c>
      <c r="E6" s="208"/>
      <c r="F6" s="174"/>
      <c r="O6" s="64"/>
    </row>
    <row r="7" spans="1:15" ht="14.25" customHeight="1">
      <c r="A7" s="41" t="s">
        <v>4</v>
      </c>
      <c r="B7" s="207">
        <f>B6</f>
        <v>300000000</v>
      </c>
      <c r="C7" s="208"/>
      <c r="D7" s="207">
        <f>I3</f>
        <v>3600000000</v>
      </c>
      <c r="E7" s="208"/>
      <c r="F7" s="174"/>
      <c r="O7" s="65">
        <f>B11</f>
        <v>300000000</v>
      </c>
    </row>
    <row r="8" spans="1:23" ht="14.25" customHeight="1">
      <c r="A8" s="41" t="s">
        <v>5</v>
      </c>
      <c r="B8" s="207">
        <f>B6</f>
        <v>300000000</v>
      </c>
      <c r="C8" s="208"/>
      <c r="D8" s="207">
        <f>J3</f>
        <v>3600000000</v>
      </c>
      <c r="E8" s="208"/>
      <c r="F8" s="174"/>
      <c r="W8" s="171"/>
    </row>
    <row r="9" spans="1:6" ht="14.25" customHeight="1">
      <c r="A9" s="41" t="s">
        <v>33</v>
      </c>
      <c r="B9" s="207">
        <f>B6</f>
        <v>300000000</v>
      </c>
      <c r="C9" s="208"/>
      <c r="D9" s="207">
        <f>K3</f>
        <v>3600000000</v>
      </c>
      <c r="E9" s="208"/>
      <c r="F9" s="174"/>
    </row>
    <row r="10" spans="1:6" ht="14.25" customHeight="1">
      <c r="A10" s="41" t="s">
        <v>34</v>
      </c>
      <c r="B10" s="207">
        <f>B6</f>
        <v>300000000</v>
      </c>
      <c r="C10" s="208"/>
      <c r="D10" s="207">
        <f>L3</f>
        <v>3600000000</v>
      </c>
      <c r="E10" s="208"/>
      <c r="F10" s="174"/>
    </row>
    <row r="11" spans="1:6" ht="14.25" customHeight="1">
      <c r="A11" s="41" t="s">
        <v>78</v>
      </c>
      <c r="B11" s="207">
        <f>B6</f>
        <v>300000000</v>
      </c>
      <c r="C11" s="208"/>
      <c r="D11" s="207">
        <f>M3</f>
        <v>3600000000</v>
      </c>
      <c r="E11" s="208"/>
      <c r="F11" s="174"/>
    </row>
    <row r="12" spans="1:6" ht="30.75" customHeight="1">
      <c r="A12" s="167" t="s">
        <v>129</v>
      </c>
      <c r="B12" s="212">
        <f>B6</f>
        <v>300000000</v>
      </c>
      <c r="C12" s="213"/>
      <c r="D12" s="212">
        <f>N3</f>
        <v>3600000000</v>
      </c>
      <c r="E12" s="213"/>
      <c r="F12" s="174"/>
    </row>
    <row r="13" ht="3.75" customHeight="1" thickBot="1"/>
    <row r="14" spans="1:6" s="183" customFormat="1" ht="14.25" customHeight="1">
      <c r="A14" s="215" t="s">
        <v>132</v>
      </c>
      <c r="B14" s="214" t="s">
        <v>69</v>
      </c>
      <c r="C14" s="214"/>
      <c r="D14" s="209" t="s">
        <v>70</v>
      </c>
      <c r="E14" s="210"/>
      <c r="F14" s="182"/>
    </row>
    <row r="15" spans="1:6" s="183" customFormat="1" ht="14.25" customHeight="1" thickBot="1">
      <c r="A15" s="216"/>
      <c r="B15" s="68">
        <f>IF(AND(H2&gt;23000000,H2&lt;=92000000),(H2-23000000)*0.1,IF(AND(H2&gt;92000000,H2&lt;=115000000),(H2-92000000)*0.15+6900000,IF(AND(H2&gt;115000000,H2&lt;=161000000),(H2-115000000)*0.25+10350000,IF(AND(H2&gt;161000000,H2&lt;=1000000000000000),(H2-161000000)*0.35+21850000,0))))</f>
        <v>70500000</v>
      </c>
      <c r="C15" s="184" t="s">
        <v>0</v>
      </c>
      <c r="D15" s="185">
        <f>IF(AND(H3&gt;276000000,H3&lt;=1104000000),(H3-276000000)*0.1,IF(AND(H3&gt;1104000000,H3&lt;=1380000000),(H3-1104000000)*0.15+82800000,IF(AND(H3&gt;1380000000,H3&lt;=1932000000),(H3-1380000000)*0.25+124200000,IF(AND(H3&gt;1932000000,H3&lt;=1000000000000000),(H3-1932000000)*0.35+262200000,0))))</f>
        <v>846000000</v>
      </c>
      <c r="E15" s="186" t="s">
        <v>0</v>
      </c>
      <c r="F15" s="187"/>
    </row>
    <row r="16" spans="1:6" s="183" customFormat="1" ht="14.25" customHeight="1" hidden="1" thickBot="1">
      <c r="A16" s="188"/>
      <c r="B16" s="189"/>
      <c r="C16" s="189"/>
      <c r="D16" s="190"/>
      <c r="E16" s="190"/>
      <c r="F16" s="191"/>
    </row>
    <row r="17" spans="1:6" s="183" customFormat="1" ht="14.25" customHeight="1">
      <c r="A17" s="215" t="s">
        <v>133</v>
      </c>
      <c r="B17" s="214" t="s">
        <v>68</v>
      </c>
      <c r="C17" s="214"/>
      <c r="D17" s="209" t="s">
        <v>71</v>
      </c>
      <c r="E17" s="210"/>
      <c r="F17" s="182"/>
    </row>
    <row r="18" spans="1:6" s="183" customFormat="1" ht="14.25" customHeight="1" thickBot="1">
      <c r="A18" s="216"/>
      <c r="B18" s="68">
        <f>IF(AND(I2&gt;27500000,I2&lt;=41250000),(I2-27500000)*0.1,IF(AND(I2&gt;41250000,I2&lt;=68750000),(I2-41250000)*0.15+1375000,IF(AND(I2&gt;68750000,I2&lt;=110000000),(I2-68750000)*0.2+5500000,IF(AND(I2&gt;110000000,I2&lt;=165000000),(I2-110000000)*0.25+13750000,IF(AND(I2&gt;165000000,I2&lt;=1000000000000000),(I2-165000000)*0.35+27500000,0)))))</f>
        <v>74750000</v>
      </c>
      <c r="C18" s="192" t="s">
        <v>0</v>
      </c>
      <c r="D18" s="185">
        <f>IF(AND(I3&gt;330000000,I3&lt;=825000000),(I3-330000000)*0.1,IF(AND(I3&gt;825000000,I3&lt;=1155000000),(I3-825000000)*0.15+49500000,IF(AND(I3&gt;1155000000,I3&lt;=1650000000),(I3-1155000000)*0.2+99000000,IF(AND(I3&gt;1650000000,I3&lt;=2310000000),(I3-1650000000)*0.25+198000000,IF(AND(I3&gt;2310000000,I3&lt;=1000000000000000),(I3-2310000000)*0.35+363000000,0)))))</f>
        <v>814500000</v>
      </c>
      <c r="E18" s="193" t="s">
        <v>0</v>
      </c>
      <c r="F18" s="194"/>
    </row>
    <row r="19" spans="1:6" s="183" customFormat="1" ht="14.25" customHeight="1" hidden="1" thickBot="1">
      <c r="A19" s="188"/>
      <c r="B19" s="189"/>
      <c r="C19" s="189"/>
      <c r="D19" s="190"/>
      <c r="E19" s="190"/>
      <c r="F19" s="191"/>
    </row>
    <row r="20" spans="1:6" s="183" customFormat="1" ht="14.25" customHeight="1">
      <c r="A20" s="215" t="s">
        <v>134</v>
      </c>
      <c r="B20" s="214" t="s">
        <v>72</v>
      </c>
      <c r="C20" s="214"/>
      <c r="D20" s="209" t="s">
        <v>75</v>
      </c>
      <c r="E20" s="210"/>
      <c r="F20" s="182"/>
    </row>
    <row r="21" spans="1:7" s="183" customFormat="1" ht="14.25" customHeight="1" thickBot="1">
      <c r="A21" s="216"/>
      <c r="B21" s="68">
        <f>IF(AND(J2&gt;30000000,J2&lt;=75000000),(J2-30000000)*0.1,IF(AND(J2&gt;75000000,J2&lt;=105000000),(J2-75000000)*0.15+4500000,IF(AND(J2&gt;105000000,J2&lt;=150000000),(J2-105000000)*0.2+9000000,IF(AND(J2&gt;150000000,J2&lt;=1000000000000000),(J2-150000000)*0.25+18000000,0))))</f>
        <v>55500000</v>
      </c>
      <c r="C21" s="184" t="s">
        <v>0</v>
      </c>
      <c r="D21" s="185">
        <f>IF(AND(J3&gt;360000000,J3&lt;=900000000),(J3-360000000)*0.1,IF(AND(J3&gt;900000000,J3&lt;=1260000000),(J3-900000000)*0.15+54000000,IF(AND(J3&gt;1260000000,J3&lt;=1800000000),(J3-1260000000)*0.2+108000000,IF(AND(J3&gt;1800000000,J3&lt;=1000000000000000),(J3-1800000000)*0.25+216000000,0))))</f>
        <v>666000000</v>
      </c>
      <c r="E21" s="186" t="s">
        <v>0</v>
      </c>
      <c r="F21" s="187"/>
      <c r="G21" s="195"/>
    </row>
    <row r="22" spans="1:7" s="183" customFormat="1" ht="14.25" customHeight="1">
      <c r="A22" s="215" t="s">
        <v>135</v>
      </c>
      <c r="B22" s="214" t="s">
        <v>73</v>
      </c>
      <c r="C22" s="214"/>
      <c r="D22" s="209" t="s">
        <v>74</v>
      </c>
      <c r="E22" s="210"/>
      <c r="F22" s="182"/>
      <c r="G22" s="195"/>
    </row>
    <row r="23" spans="1:6" s="183" customFormat="1" ht="14.25" customHeight="1" thickBot="1">
      <c r="A23" s="216"/>
      <c r="B23" s="68">
        <f>IF(AND(K2&gt;40000000,K2&lt;=80000000),(K2-40000000)*0.1,IF(AND(K2&gt;80000000,K2&lt;=120000000),(K2-80000000)*0.15+4000000,IF(AND(K2&gt;120000000,K2&lt;=180000000),(K2-120000000)*0.2+10000000,IF(AND(K2&gt;180000000,K2&lt;=240000000),(K2-180000000)*0.25+22000000,IF(AND(K2&gt;240000000,K2&lt;=320000000),(K2-240000000)*0.3+37000000,IF(AND(K2&gt;320000000,K2&lt;=1000000000000000),(K2-320000000)*0.35+61000000,0))))))</f>
        <v>55000000</v>
      </c>
      <c r="C23" s="184" t="s">
        <v>0</v>
      </c>
      <c r="D23" s="185">
        <f>IF(AND(K3&gt;480000000,K3&lt;=960000000),(K3-480000000)*0.1,IF(AND(K3&gt;960000000,K3&lt;=1440000000),(K3-960000000)*0.15+48000000,IF(AND(K3&gt;1440000000,K3&lt;=2160000000),(K3-1440000000)*0.2+120000000,IF(AND(K3&gt;2160000000,K3&lt;=2880000000),(K3-2160000000)*0.25+264000000,IF(AND(K3&gt;2880000000,K3&lt;=3840000000),(K3-2880000000)*0.3+444000000,IF(AND(K3&gt;3840000000,K3&lt;=1000000000000000),(K3-3840000000)*0.35+732000000,0))))))</f>
        <v>660000000</v>
      </c>
      <c r="E23" s="186" t="s">
        <v>0</v>
      </c>
      <c r="F23" s="187"/>
    </row>
    <row r="24" spans="1:6" s="183" customFormat="1" ht="14.25" customHeight="1">
      <c r="A24" s="215" t="s">
        <v>136</v>
      </c>
      <c r="B24" s="214" t="s">
        <v>76</v>
      </c>
      <c r="C24" s="214"/>
      <c r="D24" s="209" t="s">
        <v>77</v>
      </c>
      <c r="E24" s="210"/>
      <c r="F24" s="182"/>
    </row>
    <row r="25" spans="1:6" s="183" customFormat="1" ht="14.25" customHeight="1" thickBot="1">
      <c r="A25" s="216"/>
      <c r="B25" s="68">
        <f>IF(AND(L2&gt;56000000,L2&lt;=150000000),(L2-56000000)*0.1,IF(AND(L2&gt;150000000,L2&lt;=250000000),(L2-150000000)*0.15+9400000,IF(AND(L2&gt;250000000,L2&lt;=350000000),(L2-250000000)*0.2+24400000,IF(AND(L2&gt;350000000,L2&lt;=1000000000000000),(L2-350000000)*0.3+44400000,0))))</f>
        <v>34400000</v>
      </c>
      <c r="C25" s="184" t="s">
        <v>0</v>
      </c>
      <c r="D25" s="185">
        <f>IF(AND(L3&gt;672000000,L3&lt;=1800000000),(L3-672000000)*0.1,IF(AND(L3&gt;1800000000,L3&lt;=3000000000),(L3-1800000000)*0.15+112800000,IF(AND(L3&gt;3000000000,L3&lt;=4200000000),(L3-3000000000)*0.2+292800000,IF(AND(L3&gt;4200000000,L3&lt;=1000000000000000),(L3-4200000000)*0.3+532800000,0))))</f>
        <v>412800000</v>
      </c>
      <c r="E25" s="186" t="s">
        <v>0</v>
      </c>
      <c r="F25" s="187"/>
    </row>
    <row r="26" spans="1:6" s="183" customFormat="1" ht="14.25" customHeight="1">
      <c r="A26" s="215" t="s">
        <v>137</v>
      </c>
      <c r="B26" s="214" t="s">
        <v>79</v>
      </c>
      <c r="C26" s="214"/>
      <c r="D26" s="209" t="s">
        <v>80</v>
      </c>
      <c r="E26" s="210"/>
      <c r="F26" s="182"/>
    </row>
    <row r="27" spans="1:6" s="183" customFormat="1" ht="14.25" customHeight="1" thickBot="1">
      <c r="A27" s="216"/>
      <c r="B27" s="68">
        <f>IF(AND(M2&gt;100000000,M2&lt;=140000000),(M2-100000000)*0.1,IF(AND(M2&gt;140000000,M2&lt;=230000000),(M2-140000000)*0.15+4000000,IF(AND(M2&gt;230000000,M2&lt;=340000000),(M2-230000000)*0.2+17500000,IF(AND(M2&gt;340000000,M2&lt;=1000000000000000),(M2-340000000)*0.3+39500000,0))))</f>
        <v>31500000</v>
      </c>
      <c r="C27" s="184" t="s">
        <v>0</v>
      </c>
      <c r="D27" s="185">
        <f>IF(AND(M3&gt;1200000000,M3&lt;=1680000000),(M3-1200000000)*0.1,IF(AND(M3&gt;1680000000,M3&lt;=2760000000),(M3-1680000000)*0.15+48000000,IF(AND(M3&gt;2760000000,M3&lt;=4080000000),(M3-2760000000)*0.2+210000000,IF(AND(M3&gt;4080000000,M3&lt;=1000000000000000),(M3-4080000000)*0.3+474000000,0))))</f>
        <v>378000000</v>
      </c>
      <c r="E27" s="186" t="s">
        <v>0</v>
      </c>
      <c r="F27" s="187"/>
    </row>
    <row r="28" spans="1:6" s="183" customFormat="1" ht="14.25" customHeight="1">
      <c r="A28" s="203" t="s">
        <v>138</v>
      </c>
      <c r="B28" s="201" t="s">
        <v>130</v>
      </c>
      <c r="C28" s="201"/>
      <c r="D28" s="201" t="s">
        <v>131</v>
      </c>
      <c r="E28" s="202"/>
      <c r="F28" s="182"/>
    </row>
    <row r="29" spans="1:6" s="183" customFormat="1" ht="14.25" customHeight="1" thickBot="1">
      <c r="A29" s="204"/>
      <c r="B29" s="168">
        <f>IF(AND(M2&gt;120000000,M2&lt;=165000000),(M2-120000000)*0.1,IF(AND(M2&gt;165000000,M2&lt;=270000000),(M2-165000000)*0.15+4500000,IF(AND(M2&gt;270000000,M2&lt;=400000000),(M2-270000000)*0.2+20250000,IF(AND(M2&gt;400000000,M2&lt;=1000000000000000),(M2-400000000)*0.3+46250000,0))))</f>
        <v>26250000</v>
      </c>
      <c r="C29" s="196" t="s">
        <v>0</v>
      </c>
      <c r="D29" s="168">
        <f>IF(AND(N3&gt;1440000000,N3&lt;=1980000000),(N3-1440000000)*0.1,IF(AND(N3&gt;1980000000,N3&lt;=3240000000),(N3-1980000000)*0.15+54000000,IF(AND(N3&gt;3240000000,N3&lt;=4800000000),(N3-3240000000)*0.2+243000000,IF(AND(N3&gt;4800000000,N3&lt;=1000000000000000),(N3-4800000000)*0.3+555000000,0))))</f>
        <v>315000000</v>
      </c>
      <c r="E29" s="197" t="s">
        <v>0</v>
      </c>
      <c r="F29" s="187"/>
    </row>
    <row r="30" spans="1:6" ht="57.75" customHeight="1">
      <c r="A30" s="211" t="s">
        <v>152</v>
      </c>
      <c r="B30" s="211"/>
      <c r="C30" s="211"/>
      <c r="D30" s="211"/>
      <c r="E30" s="211"/>
      <c r="F30" s="175"/>
    </row>
    <row r="31" spans="4:6" ht="42.75" customHeight="1">
      <c r="D31" s="69" t="s">
        <v>84</v>
      </c>
      <c r="E31" s="3"/>
      <c r="F31" s="176"/>
    </row>
  </sheetData>
  <sheetProtection password="80FE" sheet="1" selectLockedCells="1" selectUnlockedCells="1"/>
  <mergeCells count="38">
    <mergeCell ref="A26:A27"/>
    <mergeCell ref="B26:C26"/>
    <mergeCell ref="D26:E26"/>
    <mergeCell ref="A20:A21"/>
    <mergeCell ref="A17:A18"/>
    <mergeCell ref="B17:C17"/>
    <mergeCell ref="A24:A25"/>
    <mergeCell ref="B24:C24"/>
    <mergeCell ref="D24:E24"/>
    <mergeCell ref="A30:E30"/>
    <mergeCell ref="B12:C12"/>
    <mergeCell ref="D12:E12"/>
    <mergeCell ref="B20:C20"/>
    <mergeCell ref="D20:E20"/>
    <mergeCell ref="A22:A23"/>
    <mergeCell ref="B22:C22"/>
    <mergeCell ref="D22:E22"/>
    <mergeCell ref="A14:A15"/>
    <mergeCell ref="B14:C14"/>
    <mergeCell ref="D14:E14"/>
    <mergeCell ref="B8:C8"/>
    <mergeCell ref="D8:E8"/>
    <mergeCell ref="B9:C9"/>
    <mergeCell ref="D9:E9"/>
    <mergeCell ref="B10:C10"/>
    <mergeCell ref="D10:E10"/>
    <mergeCell ref="B11:C11"/>
    <mergeCell ref="D11:E11"/>
    <mergeCell ref="B28:C28"/>
    <mergeCell ref="D28:E28"/>
    <mergeCell ref="A28:A29"/>
    <mergeCell ref="A4:E4"/>
    <mergeCell ref="B5:C5"/>
    <mergeCell ref="B6:C6"/>
    <mergeCell ref="D6:E6"/>
    <mergeCell ref="B7:C7"/>
    <mergeCell ref="D7:E7"/>
    <mergeCell ref="D17:E17"/>
  </mergeCells>
  <printOptions horizontalCentered="1"/>
  <pageMargins left="0" right="0" top="0.7874015748031497" bottom="0.5905511811023623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L70"/>
  <sheetViews>
    <sheetView showGridLines="0" showRowColHeaders="0" rightToLeft="1" zoomScalePageLayoutView="0" workbookViewId="0" topLeftCell="A1">
      <selection activeCell="B23" sqref="B23"/>
    </sheetView>
  </sheetViews>
  <sheetFormatPr defaultColWidth="9.00390625" defaultRowHeight="15"/>
  <cols>
    <col min="1" max="1" width="12.421875" style="48" customWidth="1"/>
    <col min="2" max="2" width="21.8515625" style="48" customWidth="1"/>
    <col min="3" max="3" width="18.7109375" style="48" customWidth="1"/>
    <col min="4" max="4" width="15.00390625" style="50" customWidth="1"/>
    <col min="5" max="5" width="13.28125" style="48" customWidth="1"/>
    <col min="6" max="6" width="12.140625" style="48" customWidth="1"/>
    <col min="7" max="7" width="13.8515625" style="48" customWidth="1"/>
    <col min="8" max="12" width="11.7109375" style="48" customWidth="1"/>
    <col min="13" max="16384" width="9.00390625" style="48" customWidth="1"/>
  </cols>
  <sheetData>
    <row r="1" spans="1:12" ht="28.5" customHeight="1">
      <c r="A1" s="217" t="s">
        <v>142</v>
      </c>
      <c r="B1" s="217"/>
      <c r="C1" s="217"/>
      <c r="D1" s="217"/>
      <c r="E1" s="217"/>
      <c r="F1" s="217"/>
      <c r="G1" s="52"/>
      <c r="H1" s="52"/>
      <c r="I1" s="52"/>
      <c r="J1" s="52"/>
      <c r="K1" s="52"/>
      <c r="L1" s="52"/>
    </row>
    <row r="2" spans="1:12" ht="42.75" customHeight="1">
      <c r="A2" s="162"/>
      <c r="B2" s="76" t="s">
        <v>106</v>
      </c>
      <c r="C2" s="72">
        <f>'روش ماهانه 1403'!O7</f>
        <v>300000000</v>
      </c>
      <c r="D2" s="74"/>
      <c r="E2" s="73"/>
      <c r="F2" s="162"/>
      <c r="G2" s="52"/>
      <c r="H2" s="52"/>
      <c r="I2" s="52"/>
      <c r="J2" s="52"/>
      <c r="K2" s="52"/>
      <c r="L2" s="52"/>
    </row>
    <row r="3" spans="6:12" ht="33.75" customHeight="1" hidden="1">
      <c r="F3" s="48" t="s">
        <v>1</v>
      </c>
      <c r="G3" s="52" t="s">
        <v>2</v>
      </c>
      <c r="H3" s="52"/>
      <c r="I3" s="52"/>
      <c r="J3" s="52"/>
      <c r="K3" s="52"/>
      <c r="L3" s="52"/>
    </row>
    <row r="4" spans="6:12" ht="33.75" customHeight="1" hidden="1">
      <c r="F4" s="48">
        <f>C2</f>
        <v>300000000</v>
      </c>
      <c r="G4" s="52">
        <f>F4*12</f>
        <v>3600000000</v>
      </c>
      <c r="H4" s="52"/>
      <c r="I4" s="52"/>
      <c r="J4" s="52"/>
      <c r="K4" s="52"/>
      <c r="L4" s="52"/>
    </row>
    <row r="5" spans="1:12" ht="45" customHeight="1" hidden="1">
      <c r="A5" s="49"/>
      <c r="B5" s="49" t="s">
        <v>139</v>
      </c>
      <c r="C5" s="49" t="s">
        <v>38</v>
      </c>
      <c r="D5" s="51"/>
      <c r="E5" s="49"/>
      <c r="F5" s="48">
        <f>F4-B20</f>
        <v>180000000</v>
      </c>
      <c r="G5" s="52"/>
      <c r="H5" s="52"/>
      <c r="I5" s="52"/>
      <c r="J5" s="52"/>
      <c r="K5" s="52"/>
      <c r="L5" s="52"/>
    </row>
    <row r="6" spans="1:12" ht="33.75" customHeight="1" hidden="1">
      <c r="A6" s="49"/>
      <c r="B6" s="49">
        <v>1440000000</v>
      </c>
      <c r="C6" s="49"/>
      <c r="D6" s="51">
        <v>0</v>
      </c>
      <c r="E6" s="49">
        <v>0</v>
      </c>
      <c r="F6" s="48">
        <f>F5-B21</f>
        <v>135000000</v>
      </c>
      <c r="G6" s="52"/>
      <c r="H6" s="52"/>
      <c r="I6" s="52"/>
      <c r="J6" s="52"/>
      <c r="K6" s="52"/>
      <c r="L6" s="52"/>
    </row>
    <row r="7" spans="1:12" ht="33.75" customHeight="1" hidden="1">
      <c r="A7" s="49">
        <v>1440000000</v>
      </c>
      <c r="B7" s="49">
        <v>1980000000</v>
      </c>
      <c r="C7" s="49">
        <f>B7-A7</f>
        <v>540000000</v>
      </c>
      <c r="D7" s="51">
        <v>0.1</v>
      </c>
      <c r="E7" s="49">
        <f>C7*D7</f>
        <v>54000000</v>
      </c>
      <c r="F7" s="48">
        <f>F6-B22</f>
        <v>30000000</v>
      </c>
      <c r="G7" s="52"/>
      <c r="H7" s="52"/>
      <c r="I7" s="52"/>
      <c r="J7" s="52"/>
      <c r="K7" s="52"/>
      <c r="L7" s="52"/>
    </row>
    <row r="8" spans="1:12" ht="33.75" customHeight="1" hidden="1">
      <c r="A8" s="49">
        <v>1980000000</v>
      </c>
      <c r="B8" s="49">
        <v>3240000000</v>
      </c>
      <c r="C8" s="49">
        <f>B8-A8</f>
        <v>1260000000</v>
      </c>
      <c r="D8" s="51">
        <f>15/100</f>
        <v>0.15</v>
      </c>
      <c r="E8" s="49">
        <f>C8*D8</f>
        <v>189000000</v>
      </c>
      <c r="F8" s="48">
        <f>F7-B23</f>
        <v>0</v>
      </c>
      <c r="G8" s="52"/>
      <c r="H8" s="52"/>
      <c r="I8" s="52"/>
      <c r="J8" s="52"/>
      <c r="K8" s="52"/>
      <c r="L8" s="52"/>
    </row>
    <row r="9" spans="1:12" ht="33.75" customHeight="1" hidden="1">
      <c r="A9" s="49">
        <v>3240000000</v>
      </c>
      <c r="B9" s="49">
        <v>4800000000</v>
      </c>
      <c r="C9" s="49">
        <f>B9-A9</f>
        <v>1560000000</v>
      </c>
      <c r="D9" s="51">
        <f>20/100</f>
        <v>0.2</v>
      </c>
      <c r="E9" s="49">
        <f>C9*D9</f>
        <v>312000000</v>
      </c>
      <c r="F9" s="48">
        <f>F8-B24</f>
        <v>0</v>
      </c>
      <c r="G9" s="52"/>
      <c r="H9" s="52"/>
      <c r="I9" s="52"/>
      <c r="J9" s="52"/>
      <c r="K9" s="52"/>
      <c r="L9" s="52"/>
    </row>
    <row r="10" spans="1:12" ht="33.75" customHeight="1" hidden="1">
      <c r="A10" s="49">
        <v>4800000000</v>
      </c>
      <c r="B10" s="49">
        <v>999999999999999</v>
      </c>
      <c r="C10" s="49">
        <f>B10-A10</f>
        <v>999995199999999</v>
      </c>
      <c r="D10" s="51">
        <v>0.3</v>
      </c>
      <c r="E10" s="49">
        <f>C10*D10</f>
        <v>299998559999999.7</v>
      </c>
      <c r="G10" s="52"/>
      <c r="H10" s="52"/>
      <c r="I10" s="52"/>
      <c r="J10" s="52"/>
      <c r="K10" s="52"/>
      <c r="L10" s="52"/>
    </row>
    <row r="11" spans="1:12" ht="33.75" customHeight="1" hidden="1">
      <c r="A11" s="49"/>
      <c r="B11" s="49">
        <f>B6/12</f>
        <v>120000000</v>
      </c>
      <c r="C11" s="49">
        <v>0</v>
      </c>
      <c r="D11" s="51">
        <v>0</v>
      </c>
      <c r="E11" s="51">
        <v>0</v>
      </c>
      <c r="G11" s="52"/>
      <c r="H11" s="52"/>
      <c r="I11" s="52"/>
      <c r="J11" s="52"/>
      <c r="K11" s="52"/>
      <c r="L11" s="52"/>
    </row>
    <row r="12" spans="1:12" ht="33.75" customHeight="1" hidden="1">
      <c r="A12" s="49">
        <f>A7/12</f>
        <v>120000000</v>
      </c>
      <c r="B12" s="49">
        <f>B7/12</f>
        <v>165000000</v>
      </c>
      <c r="C12" s="49">
        <f>C7/12</f>
        <v>45000000</v>
      </c>
      <c r="D12" s="51">
        <v>0.1</v>
      </c>
      <c r="E12" s="49">
        <f>C12*D12</f>
        <v>4500000</v>
      </c>
      <c r="G12" s="52"/>
      <c r="H12" s="52"/>
      <c r="I12" s="52"/>
      <c r="J12" s="52"/>
      <c r="K12" s="52"/>
      <c r="L12" s="52"/>
    </row>
    <row r="13" spans="1:12" ht="33.75" customHeight="1" hidden="1">
      <c r="A13" s="49">
        <f>A8/12</f>
        <v>165000000</v>
      </c>
      <c r="B13" s="49">
        <f>B8/12</f>
        <v>270000000</v>
      </c>
      <c r="C13" s="49">
        <f>C8/12</f>
        <v>105000000</v>
      </c>
      <c r="D13" s="51">
        <f>15/100</f>
        <v>0.15</v>
      </c>
      <c r="E13" s="49">
        <f>C13*D13</f>
        <v>15750000</v>
      </c>
      <c r="G13" s="52"/>
      <c r="H13" s="52"/>
      <c r="I13" s="52"/>
      <c r="J13" s="52"/>
      <c r="K13" s="52"/>
      <c r="L13" s="52"/>
    </row>
    <row r="14" spans="1:12" ht="33.75" customHeight="1" hidden="1">
      <c r="A14" s="49">
        <f>A9/12</f>
        <v>270000000</v>
      </c>
      <c r="B14" s="49">
        <f>B9/12</f>
        <v>400000000</v>
      </c>
      <c r="C14" s="49">
        <f>C9/12</f>
        <v>130000000</v>
      </c>
      <c r="D14" s="51">
        <f>20/100</f>
        <v>0.2</v>
      </c>
      <c r="E14" s="49">
        <f>C14*D14</f>
        <v>26000000</v>
      </c>
      <c r="G14" s="52"/>
      <c r="H14" s="52"/>
      <c r="I14" s="52"/>
      <c r="J14" s="52"/>
      <c r="K14" s="52"/>
      <c r="L14" s="52"/>
    </row>
    <row r="15" spans="1:12" ht="33.75" customHeight="1" hidden="1">
      <c r="A15" s="49">
        <f>A10/12</f>
        <v>400000000</v>
      </c>
      <c r="B15" s="49">
        <f>B10/12</f>
        <v>83333333333333.25</v>
      </c>
      <c r="C15" s="49">
        <f>B15-A15</f>
        <v>83332933333333.25</v>
      </c>
      <c r="D15" s="51">
        <v>0.3</v>
      </c>
      <c r="E15" s="49">
        <f>C15*D15</f>
        <v>24999879999999.973</v>
      </c>
      <c r="G15" s="52"/>
      <c r="H15" s="52"/>
      <c r="I15" s="52"/>
      <c r="J15" s="52"/>
      <c r="K15" s="52"/>
      <c r="L15" s="52"/>
    </row>
    <row r="16" spans="4:12" ht="12" customHeight="1" hidden="1">
      <c r="D16" s="48"/>
      <c r="G16" s="52"/>
      <c r="H16" s="52"/>
      <c r="I16" s="52"/>
      <c r="J16" s="52"/>
      <c r="K16" s="52"/>
      <c r="L16" s="52"/>
    </row>
    <row r="17" spans="4:12" ht="23.25" customHeight="1" hidden="1">
      <c r="D17" s="48"/>
      <c r="G17" s="52"/>
      <c r="H17" s="52"/>
      <c r="I17" s="52"/>
      <c r="J17" s="52"/>
      <c r="K17" s="52"/>
      <c r="L17" s="52"/>
    </row>
    <row r="18" spans="1:11" ht="32.25" customHeight="1">
      <c r="A18" s="218" t="s">
        <v>141</v>
      </c>
      <c r="B18" s="218"/>
      <c r="C18" s="218"/>
      <c r="D18" s="218"/>
      <c r="E18" s="218"/>
      <c r="F18" s="218"/>
      <c r="G18" s="52"/>
      <c r="H18" s="52"/>
      <c r="I18" s="52"/>
      <c r="J18" s="52"/>
      <c r="K18" s="52"/>
    </row>
    <row r="19" spans="1:11" ht="58.5" customHeight="1">
      <c r="A19" s="61" t="s">
        <v>49</v>
      </c>
      <c r="B19" s="53" t="s">
        <v>61</v>
      </c>
      <c r="C19" s="53" t="s">
        <v>62</v>
      </c>
      <c r="D19" s="53" t="s">
        <v>83</v>
      </c>
      <c r="E19" s="53" t="s">
        <v>58</v>
      </c>
      <c r="F19" s="53" t="s">
        <v>59</v>
      </c>
      <c r="G19" s="52"/>
      <c r="H19" s="52"/>
      <c r="I19" s="52"/>
      <c r="J19" s="52"/>
      <c r="K19" s="52"/>
    </row>
    <row r="20" spans="1:11" ht="21.75">
      <c r="A20" s="53">
        <v>1</v>
      </c>
      <c r="B20" s="53">
        <f>IF(F4&lt;=120000000,F4,120000000)</f>
        <v>120000000</v>
      </c>
      <c r="C20" s="53">
        <f>B20*12</f>
        <v>1440000000</v>
      </c>
      <c r="D20" s="54">
        <v>0</v>
      </c>
      <c r="E20" s="60">
        <v>0</v>
      </c>
      <c r="F20" s="60">
        <v>0</v>
      </c>
      <c r="G20" s="52"/>
      <c r="H20" s="52"/>
      <c r="I20" s="52"/>
      <c r="J20" s="52"/>
      <c r="K20" s="52"/>
    </row>
    <row r="21" spans="1:11" ht="21.75">
      <c r="A21" s="53">
        <v>2</v>
      </c>
      <c r="B21" s="53">
        <f>IF(F5&gt;=C12,C12,F5)</f>
        <v>45000000</v>
      </c>
      <c r="C21" s="53">
        <f>B21*12</f>
        <v>540000000</v>
      </c>
      <c r="D21" s="54">
        <v>0.1</v>
      </c>
      <c r="E21" s="60">
        <f>B21*D21</f>
        <v>4500000</v>
      </c>
      <c r="F21" s="60">
        <f>C21*D21</f>
        <v>54000000</v>
      </c>
      <c r="G21" s="52"/>
      <c r="H21" s="52"/>
      <c r="I21" s="52"/>
      <c r="J21" s="52"/>
      <c r="K21" s="52"/>
    </row>
    <row r="22" spans="1:11" ht="21.75">
      <c r="A22" s="53">
        <v>3</v>
      </c>
      <c r="B22" s="53">
        <f>IF(F6&gt;=C13,C13,F6)</f>
        <v>105000000</v>
      </c>
      <c r="C22" s="53">
        <f>B22*12</f>
        <v>1260000000</v>
      </c>
      <c r="D22" s="54">
        <v>0.15</v>
      </c>
      <c r="E22" s="60">
        <f>B22*D22</f>
        <v>15750000</v>
      </c>
      <c r="F22" s="60">
        <f>C22*D22</f>
        <v>189000000</v>
      </c>
      <c r="G22" s="52"/>
      <c r="H22" s="52"/>
      <c r="I22" s="52"/>
      <c r="J22" s="52"/>
      <c r="K22" s="52"/>
    </row>
    <row r="23" spans="1:11" ht="21.75">
      <c r="A23" s="53">
        <v>4</v>
      </c>
      <c r="B23" s="53">
        <f>IF(F7&gt;=C14,C14,F7)</f>
        <v>30000000</v>
      </c>
      <c r="C23" s="53">
        <f>B23*12</f>
        <v>360000000</v>
      </c>
      <c r="D23" s="54">
        <v>0.2</v>
      </c>
      <c r="E23" s="60">
        <f>B23*D23</f>
        <v>6000000</v>
      </c>
      <c r="F23" s="60">
        <f>C23*D23</f>
        <v>72000000</v>
      </c>
      <c r="G23" s="52"/>
      <c r="H23" s="52"/>
      <c r="I23" s="52"/>
      <c r="J23" s="52"/>
      <c r="K23" s="52"/>
    </row>
    <row r="24" spans="1:11" ht="21.75">
      <c r="A24" s="53">
        <v>5</v>
      </c>
      <c r="B24" s="53">
        <f>IF(F8&gt;=C15,C15,F8)</f>
        <v>0</v>
      </c>
      <c r="C24" s="53">
        <f>B24*12</f>
        <v>0</v>
      </c>
      <c r="D24" s="54">
        <v>0.3</v>
      </c>
      <c r="E24" s="60">
        <f>B24*D24</f>
        <v>0</v>
      </c>
      <c r="F24" s="60">
        <f>C24*D24</f>
        <v>0</v>
      </c>
      <c r="G24" s="52"/>
      <c r="H24" s="52"/>
      <c r="I24" s="52"/>
      <c r="J24" s="52"/>
      <c r="K24" s="52"/>
    </row>
    <row r="25" spans="1:11" ht="44.25">
      <c r="A25" s="53" t="s">
        <v>143</v>
      </c>
      <c r="B25" s="53">
        <f>SUM(B20:B24)</f>
        <v>300000000</v>
      </c>
      <c r="C25" s="53">
        <f>SUM(C20:C24)</f>
        <v>3600000000</v>
      </c>
      <c r="D25" s="56" t="s">
        <v>60</v>
      </c>
      <c r="E25" s="60">
        <f>SUM(E20:E24)</f>
        <v>26250000</v>
      </c>
      <c r="F25" s="60">
        <f>SUM(F20:F24)</f>
        <v>315000000</v>
      </c>
      <c r="G25" s="52"/>
      <c r="H25" s="52"/>
      <c r="I25" s="52"/>
      <c r="J25" s="52"/>
      <c r="K25" s="52"/>
    </row>
    <row r="26" spans="1:11" ht="21.75">
      <c r="A26" s="55"/>
      <c r="B26" s="55"/>
      <c r="C26" s="55"/>
      <c r="D26" s="57"/>
      <c r="E26" s="55"/>
      <c r="F26" s="55"/>
      <c r="G26" s="52"/>
      <c r="H26" s="52"/>
      <c r="I26" s="52"/>
      <c r="J26" s="52"/>
      <c r="K26" s="52"/>
    </row>
    <row r="27" spans="1:11" ht="7.5" customHeight="1">
      <c r="A27" s="52"/>
      <c r="B27" s="52"/>
      <c r="C27" s="52"/>
      <c r="D27" s="58"/>
      <c r="E27" s="52"/>
      <c r="F27" s="52"/>
      <c r="G27" s="52"/>
      <c r="H27" s="52"/>
      <c r="I27" s="52"/>
      <c r="J27" s="52"/>
      <c r="K27" s="52"/>
    </row>
    <row r="28" spans="1:11" ht="9.75" customHeight="1" hidden="1">
      <c r="A28" s="52"/>
      <c r="B28" s="52"/>
      <c r="C28" s="52"/>
      <c r="D28" s="58"/>
      <c r="E28" s="52"/>
      <c r="F28" s="52"/>
      <c r="G28" s="52"/>
      <c r="H28" s="52"/>
      <c r="I28" s="52"/>
      <c r="J28" s="52"/>
      <c r="K28" s="52"/>
    </row>
    <row r="29" spans="1:11" ht="21.75">
      <c r="A29" s="219" t="s">
        <v>140</v>
      </c>
      <c r="B29" s="220"/>
      <c r="C29" s="220"/>
      <c r="D29" s="220"/>
      <c r="E29" s="221"/>
      <c r="F29" s="52"/>
      <c r="G29" s="52"/>
      <c r="H29" s="52"/>
      <c r="I29" s="52"/>
      <c r="J29" s="52"/>
      <c r="K29" s="52"/>
    </row>
    <row r="30" spans="1:11" ht="37.5" customHeight="1">
      <c r="A30" s="53" t="s">
        <v>86</v>
      </c>
      <c r="B30" s="53" t="s">
        <v>87</v>
      </c>
      <c r="C30" s="53" t="s">
        <v>55</v>
      </c>
      <c r="D30" s="53" t="s">
        <v>56</v>
      </c>
      <c r="E30" s="53" t="s">
        <v>54</v>
      </c>
      <c r="F30" s="52"/>
      <c r="G30" s="52"/>
      <c r="H30" s="52"/>
      <c r="I30" s="52"/>
      <c r="J30" s="52"/>
      <c r="K30" s="52"/>
    </row>
    <row r="31" spans="1:11" ht="21.75">
      <c r="A31" s="53">
        <v>1</v>
      </c>
      <c r="B31" s="163" t="s">
        <v>13</v>
      </c>
      <c r="C31" s="45">
        <v>120000000</v>
      </c>
      <c r="D31" s="46">
        <f>C31*12</f>
        <v>1440000000</v>
      </c>
      <c r="E31" s="163" t="s">
        <v>15</v>
      </c>
      <c r="F31" s="59"/>
      <c r="G31" s="52"/>
      <c r="H31" s="52"/>
      <c r="I31" s="52"/>
      <c r="J31" s="52"/>
      <c r="K31" s="52"/>
    </row>
    <row r="32" spans="1:11" ht="21.75">
      <c r="A32" s="53">
        <v>2</v>
      </c>
      <c r="B32" s="163" t="s">
        <v>23</v>
      </c>
      <c r="C32" s="45">
        <v>165000000</v>
      </c>
      <c r="D32" s="46">
        <f>C32*12</f>
        <v>1980000000</v>
      </c>
      <c r="E32" s="47">
        <v>0.1</v>
      </c>
      <c r="F32" s="52"/>
      <c r="G32" s="52"/>
      <c r="H32" s="52"/>
      <c r="I32" s="52"/>
      <c r="J32" s="52"/>
      <c r="K32" s="52"/>
    </row>
    <row r="33" spans="1:11" ht="21.75">
      <c r="A33" s="53">
        <v>3</v>
      </c>
      <c r="B33" s="163" t="s">
        <v>24</v>
      </c>
      <c r="C33" s="45">
        <v>270000000</v>
      </c>
      <c r="D33" s="46">
        <f>C33*12</f>
        <v>3240000000</v>
      </c>
      <c r="E33" s="47">
        <v>0.15</v>
      </c>
      <c r="F33" s="52"/>
      <c r="G33" s="52"/>
      <c r="H33" s="52"/>
      <c r="I33" s="52"/>
      <c r="J33" s="52"/>
      <c r="K33" s="52"/>
    </row>
    <row r="34" spans="1:11" ht="21.75">
      <c r="A34" s="53">
        <v>4</v>
      </c>
      <c r="B34" s="163" t="s">
        <v>25</v>
      </c>
      <c r="C34" s="45">
        <v>400000000</v>
      </c>
      <c r="D34" s="46">
        <f>C34*12</f>
        <v>4800000000</v>
      </c>
      <c r="E34" s="47">
        <v>0.2</v>
      </c>
      <c r="F34" s="52"/>
      <c r="G34" s="52"/>
      <c r="H34" s="52"/>
      <c r="I34" s="52"/>
      <c r="J34" s="52"/>
      <c r="K34" s="52"/>
    </row>
    <row r="35" spans="1:11" ht="21.75">
      <c r="A35" s="53">
        <v>5</v>
      </c>
      <c r="B35" s="163" t="s">
        <v>63</v>
      </c>
      <c r="C35" s="45">
        <v>999999999999</v>
      </c>
      <c r="D35" s="46">
        <f>C35*12</f>
        <v>11999999999988</v>
      </c>
      <c r="E35" s="47">
        <v>0.3</v>
      </c>
      <c r="F35" s="52"/>
      <c r="G35" s="52"/>
      <c r="H35" s="52"/>
      <c r="I35" s="52"/>
      <c r="J35" s="52"/>
      <c r="K35" s="52"/>
    </row>
    <row r="36" spans="1:11" ht="40.5" customHeight="1">
      <c r="A36" s="52"/>
      <c r="B36" s="52"/>
      <c r="C36" s="222" t="s">
        <v>102</v>
      </c>
      <c r="D36" s="222"/>
      <c r="E36" s="222"/>
      <c r="F36" s="52"/>
      <c r="G36" s="52"/>
      <c r="H36" s="52"/>
      <c r="I36" s="52"/>
      <c r="J36" s="52"/>
      <c r="K36" s="52"/>
    </row>
    <row r="37" spans="1:11" ht="13.5" customHeight="1">
      <c r="A37" s="52"/>
      <c r="B37" s="52"/>
      <c r="C37" s="52"/>
      <c r="D37" s="58"/>
      <c r="E37" s="52"/>
      <c r="F37" s="52"/>
      <c r="G37" s="52"/>
      <c r="H37" s="52"/>
      <c r="I37" s="52"/>
      <c r="J37" s="52"/>
      <c r="K37" s="52"/>
    </row>
    <row r="38" spans="1:11" ht="30" customHeight="1">
      <c r="A38" s="52"/>
      <c r="B38" s="52"/>
      <c r="F38" s="52"/>
      <c r="G38" s="52"/>
      <c r="H38" s="52"/>
      <c r="I38" s="52"/>
      <c r="J38" s="52"/>
      <c r="K38" s="52"/>
    </row>
    <row r="39" spans="1:11" ht="21.75">
      <c r="A39" s="52"/>
      <c r="B39" s="52"/>
      <c r="C39" s="52"/>
      <c r="D39" s="58"/>
      <c r="E39" s="52"/>
      <c r="F39" s="52"/>
      <c r="G39" s="52"/>
      <c r="H39" s="52"/>
      <c r="I39" s="52"/>
      <c r="J39" s="52"/>
      <c r="K39" s="52"/>
    </row>
    <row r="40" spans="1:11" ht="21.75">
      <c r="A40" s="52"/>
      <c r="B40" s="52"/>
      <c r="C40" s="52"/>
      <c r="D40" s="58"/>
      <c r="E40" s="52"/>
      <c r="F40" s="52"/>
      <c r="G40" s="52"/>
      <c r="H40" s="52"/>
      <c r="I40" s="52"/>
      <c r="J40" s="52"/>
      <c r="K40" s="52"/>
    </row>
    <row r="41" spans="1:11" ht="21.75">
      <c r="A41" s="52"/>
      <c r="B41" s="52"/>
      <c r="C41" s="52"/>
      <c r="D41" s="58"/>
      <c r="E41" s="52"/>
      <c r="F41" s="52"/>
      <c r="G41" s="52"/>
      <c r="H41" s="52"/>
      <c r="I41" s="52"/>
      <c r="J41" s="52"/>
      <c r="K41" s="52"/>
    </row>
    <row r="42" spans="1:11" ht="21.75">
      <c r="A42" s="52"/>
      <c r="B42" s="52"/>
      <c r="C42" s="52"/>
      <c r="D42" s="58"/>
      <c r="E42" s="52"/>
      <c r="F42" s="52"/>
      <c r="G42" s="52"/>
      <c r="H42" s="52"/>
      <c r="I42" s="52"/>
      <c r="J42" s="52"/>
      <c r="K42" s="52"/>
    </row>
    <row r="43" spans="1:11" ht="21.75">
      <c r="A43" s="52"/>
      <c r="B43" s="52"/>
      <c r="C43" s="52"/>
      <c r="D43" s="58"/>
      <c r="E43" s="52"/>
      <c r="F43" s="52"/>
      <c r="G43" s="52"/>
      <c r="H43" s="52"/>
      <c r="I43" s="52"/>
      <c r="J43" s="52"/>
      <c r="K43" s="52"/>
    </row>
    <row r="44" spans="1:11" ht="21.75">
      <c r="A44" s="52"/>
      <c r="B44" s="52"/>
      <c r="C44" s="52"/>
      <c r="D44" s="58"/>
      <c r="E44" s="52"/>
      <c r="F44" s="52"/>
      <c r="G44" s="52"/>
      <c r="H44" s="52"/>
      <c r="I44" s="52"/>
      <c r="J44" s="52"/>
      <c r="K44" s="52"/>
    </row>
    <row r="45" spans="1:11" ht="21.75">
      <c r="A45" s="52"/>
      <c r="B45" s="52"/>
      <c r="C45" s="52"/>
      <c r="D45" s="58"/>
      <c r="E45" s="52"/>
      <c r="F45" s="52"/>
      <c r="G45" s="52"/>
      <c r="H45" s="52"/>
      <c r="I45" s="52"/>
      <c r="J45" s="52"/>
      <c r="K45" s="52"/>
    </row>
    <row r="46" spans="1:11" ht="21.75">
      <c r="A46" s="52"/>
      <c r="B46" s="52"/>
      <c r="C46" s="52"/>
      <c r="D46" s="58"/>
      <c r="E46" s="52"/>
      <c r="F46" s="52"/>
      <c r="G46" s="52"/>
      <c r="H46" s="52"/>
      <c r="I46" s="52"/>
      <c r="J46" s="52"/>
      <c r="K46" s="52"/>
    </row>
    <row r="47" spans="1:11" ht="21.75">
      <c r="A47" s="52"/>
      <c r="B47" s="52"/>
      <c r="C47" s="52"/>
      <c r="D47" s="58"/>
      <c r="E47" s="52"/>
      <c r="F47" s="52"/>
      <c r="G47" s="52"/>
      <c r="H47" s="52"/>
      <c r="I47" s="52"/>
      <c r="J47" s="52"/>
      <c r="K47" s="52"/>
    </row>
    <row r="48" spans="1:11" ht="21.75">
      <c r="A48" s="52"/>
      <c r="B48" s="52"/>
      <c r="C48" s="52"/>
      <c r="D48" s="58"/>
      <c r="E48" s="52"/>
      <c r="F48" s="52"/>
      <c r="G48" s="52"/>
      <c r="H48" s="52"/>
      <c r="I48" s="52"/>
      <c r="J48" s="52"/>
      <c r="K48" s="52"/>
    </row>
    <row r="49" spans="1:11" ht="21.75">
      <c r="A49" s="52"/>
      <c r="B49" s="52"/>
      <c r="C49" s="52"/>
      <c r="D49" s="58"/>
      <c r="E49" s="52"/>
      <c r="F49" s="52"/>
      <c r="G49" s="52"/>
      <c r="H49" s="52"/>
      <c r="I49" s="52"/>
      <c r="J49" s="52"/>
      <c r="K49" s="52"/>
    </row>
    <row r="50" spans="1:11" ht="21.75">
      <c r="A50" s="52"/>
      <c r="B50" s="52"/>
      <c r="C50" s="52"/>
      <c r="D50" s="58"/>
      <c r="E50" s="52"/>
      <c r="F50" s="52"/>
      <c r="G50" s="52"/>
      <c r="H50" s="52"/>
      <c r="I50" s="52"/>
      <c r="J50" s="52"/>
      <c r="K50" s="52"/>
    </row>
    <row r="51" spans="1:11" ht="21.75">
      <c r="A51" s="52"/>
      <c r="B51" s="52"/>
      <c r="C51" s="52"/>
      <c r="D51" s="58"/>
      <c r="E51" s="52"/>
      <c r="F51" s="52"/>
      <c r="G51" s="52"/>
      <c r="H51" s="52"/>
      <c r="I51" s="52"/>
      <c r="J51" s="52"/>
      <c r="K51" s="52"/>
    </row>
    <row r="52" spans="1:11" ht="21.75">
      <c r="A52" s="52"/>
      <c r="B52" s="52"/>
      <c r="C52" s="52"/>
      <c r="D52" s="58"/>
      <c r="E52" s="52"/>
      <c r="F52" s="52"/>
      <c r="G52" s="52"/>
      <c r="H52" s="52"/>
      <c r="I52" s="52"/>
      <c r="J52" s="52"/>
      <c r="K52" s="52"/>
    </row>
    <row r="53" spans="1:11" ht="21.75">
      <c r="A53" s="52"/>
      <c r="B53" s="52"/>
      <c r="C53" s="52"/>
      <c r="D53" s="58"/>
      <c r="E53" s="52"/>
      <c r="F53" s="52"/>
      <c r="G53" s="52"/>
      <c r="H53" s="52"/>
      <c r="I53" s="52"/>
      <c r="J53" s="52"/>
      <c r="K53" s="52"/>
    </row>
    <row r="54" spans="1:11" ht="21.75">
      <c r="A54" s="52"/>
      <c r="B54" s="52"/>
      <c r="C54" s="52"/>
      <c r="D54" s="58"/>
      <c r="E54" s="52"/>
      <c r="F54" s="52"/>
      <c r="G54" s="52"/>
      <c r="H54" s="52"/>
      <c r="I54" s="52"/>
      <c r="J54" s="52"/>
      <c r="K54" s="52"/>
    </row>
    <row r="55" spans="1:11" ht="21.75">
      <c r="A55" s="52"/>
      <c r="B55" s="52"/>
      <c r="C55" s="52"/>
      <c r="D55" s="58"/>
      <c r="E55" s="52"/>
      <c r="F55" s="52"/>
      <c r="G55" s="52"/>
      <c r="H55" s="52"/>
      <c r="I55" s="52"/>
      <c r="J55" s="52"/>
      <c r="K55" s="52"/>
    </row>
    <row r="56" spans="1:11" ht="21.75">
      <c r="A56" s="52"/>
      <c r="B56" s="52"/>
      <c r="C56" s="52"/>
      <c r="D56" s="58"/>
      <c r="E56" s="52"/>
      <c r="F56" s="52"/>
      <c r="G56" s="52"/>
      <c r="H56" s="52"/>
      <c r="I56" s="52"/>
      <c r="J56" s="52"/>
      <c r="K56" s="52"/>
    </row>
    <row r="57" spans="1:11" ht="21.75">
      <c r="A57" s="52"/>
      <c r="B57" s="52"/>
      <c r="C57" s="52"/>
      <c r="D57" s="58"/>
      <c r="E57" s="52"/>
      <c r="F57" s="52"/>
      <c r="G57" s="52"/>
      <c r="H57" s="52"/>
      <c r="I57" s="52"/>
      <c r="J57" s="52"/>
      <c r="K57" s="52"/>
    </row>
    <row r="58" spans="1:11" ht="21.75">
      <c r="A58" s="52"/>
      <c r="B58" s="52"/>
      <c r="C58" s="52"/>
      <c r="D58" s="58"/>
      <c r="E58" s="52"/>
      <c r="F58" s="52"/>
      <c r="G58" s="52"/>
      <c r="H58" s="52"/>
      <c r="I58" s="52"/>
      <c r="J58" s="52"/>
      <c r="K58" s="52"/>
    </row>
    <row r="59" spans="1:11" ht="21.75">
      <c r="A59" s="52"/>
      <c r="B59" s="52"/>
      <c r="C59" s="52"/>
      <c r="D59" s="58"/>
      <c r="E59" s="52"/>
      <c r="F59" s="52"/>
      <c r="G59" s="52"/>
      <c r="H59" s="52"/>
      <c r="I59" s="52"/>
      <c r="J59" s="52"/>
      <c r="K59" s="52"/>
    </row>
    <row r="60" spans="1:11" ht="21.75">
      <c r="A60" s="52"/>
      <c r="B60" s="52"/>
      <c r="C60" s="52"/>
      <c r="D60" s="58"/>
      <c r="E60" s="52"/>
      <c r="F60" s="52"/>
      <c r="G60" s="52"/>
      <c r="H60" s="52"/>
      <c r="I60" s="52"/>
      <c r="J60" s="52"/>
      <c r="K60" s="52"/>
    </row>
    <row r="61" spans="1:11" ht="21.75">
      <c r="A61" s="52"/>
      <c r="B61" s="52"/>
      <c r="C61" s="52"/>
      <c r="D61" s="58"/>
      <c r="E61" s="52"/>
      <c r="F61" s="52"/>
      <c r="G61" s="52"/>
      <c r="H61" s="52"/>
      <c r="I61" s="52"/>
      <c r="J61" s="52"/>
      <c r="K61" s="52"/>
    </row>
    <row r="62" spans="1:11" ht="21.75">
      <c r="A62" s="52"/>
      <c r="B62" s="52"/>
      <c r="C62" s="52"/>
      <c r="D62" s="58"/>
      <c r="E62" s="52"/>
      <c r="F62" s="52"/>
      <c r="G62" s="52"/>
      <c r="H62" s="52"/>
      <c r="I62" s="52"/>
      <c r="J62" s="52"/>
      <c r="K62" s="52"/>
    </row>
    <row r="63" spans="1:11" ht="21.75">
      <c r="A63" s="52"/>
      <c r="B63" s="52"/>
      <c r="C63" s="52"/>
      <c r="D63" s="58"/>
      <c r="E63" s="52"/>
      <c r="F63" s="52"/>
      <c r="G63" s="52"/>
      <c r="H63" s="52"/>
      <c r="I63" s="52"/>
      <c r="J63" s="52"/>
      <c r="K63" s="52"/>
    </row>
    <row r="64" spans="1:11" ht="21.75">
      <c r="A64" s="52"/>
      <c r="B64" s="52"/>
      <c r="C64" s="52"/>
      <c r="D64" s="58"/>
      <c r="E64" s="52"/>
      <c r="F64" s="52"/>
      <c r="G64" s="52"/>
      <c r="H64" s="52"/>
      <c r="I64" s="52"/>
      <c r="J64" s="52"/>
      <c r="K64" s="52"/>
    </row>
    <row r="65" spans="1:11" ht="21.75">
      <c r="A65" s="52"/>
      <c r="B65" s="52"/>
      <c r="C65" s="52"/>
      <c r="D65" s="58"/>
      <c r="E65" s="52"/>
      <c r="F65" s="52"/>
      <c r="G65" s="52"/>
      <c r="H65" s="52"/>
      <c r="I65" s="52"/>
      <c r="J65" s="52"/>
      <c r="K65" s="52"/>
    </row>
    <row r="66" spans="1:11" ht="21.75">
      <c r="A66" s="52"/>
      <c r="B66" s="52"/>
      <c r="C66" s="52"/>
      <c r="D66" s="58"/>
      <c r="E66" s="52"/>
      <c r="F66" s="52"/>
      <c r="G66" s="52"/>
      <c r="H66" s="52"/>
      <c r="I66" s="52"/>
      <c r="J66" s="52"/>
      <c r="K66" s="52"/>
    </row>
    <row r="67" spans="1:11" ht="21.75">
      <c r="A67" s="52"/>
      <c r="B67" s="52"/>
      <c r="C67" s="52"/>
      <c r="D67" s="58"/>
      <c r="E67" s="52"/>
      <c r="F67" s="52"/>
      <c r="G67" s="52"/>
      <c r="H67" s="52"/>
      <c r="I67" s="52"/>
      <c r="J67" s="52"/>
      <c r="K67" s="52"/>
    </row>
    <row r="68" spans="1:11" ht="21.75">
      <c r="A68" s="52"/>
      <c r="B68" s="52"/>
      <c r="C68" s="52"/>
      <c r="D68" s="58"/>
      <c r="E68" s="52"/>
      <c r="F68" s="52"/>
      <c r="G68" s="52"/>
      <c r="H68" s="52"/>
      <c r="I68" s="52"/>
      <c r="J68" s="52"/>
      <c r="K68" s="52"/>
    </row>
    <row r="69" spans="1:11" ht="21.75">
      <c r="A69" s="52"/>
      <c r="B69" s="52"/>
      <c r="C69" s="52"/>
      <c r="D69" s="58"/>
      <c r="E69" s="52"/>
      <c r="F69" s="52"/>
      <c r="G69" s="52"/>
      <c r="H69" s="52"/>
      <c r="I69" s="52"/>
      <c r="J69" s="52"/>
      <c r="K69" s="52"/>
    </row>
    <row r="70" spans="1:11" ht="21.75">
      <c r="A70" s="52"/>
      <c r="B70" s="52"/>
      <c r="C70" s="52"/>
      <c r="D70" s="58"/>
      <c r="E70" s="52"/>
      <c r="F70" s="52"/>
      <c r="G70" s="52"/>
      <c r="H70" s="52"/>
      <c r="I70" s="52"/>
      <c r="J70" s="52"/>
      <c r="K70" s="52"/>
    </row>
  </sheetData>
  <sheetProtection password="80FE" sheet="1" selectLockedCells="1" selectUnlockedCells="1"/>
  <mergeCells count="4">
    <mergeCell ref="A1:F1"/>
    <mergeCell ref="A18:F18"/>
    <mergeCell ref="A29:E29"/>
    <mergeCell ref="C36:E36"/>
  </mergeCells>
  <printOptions horizontalCentered="1"/>
  <pageMargins left="0" right="0" top="0.35433070866141736" bottom="0" header="0.11811023622047245" footer="0.11811023622047245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00"/>
  </sheetPr>
  <dimension ref="B1:M67"/>
  <sheetViews>
    <sheetView showGridLines="0" showRowColHeaders="0" rightToLeft="1" zoomScale="90" zoomScaleNormal="90" zoomScalePageLayoutView="0" workbookViewId="0" topLeftCell="A38">
      <selection activeCell="E2" sqref="E2"/>
    </sheetView>
  </sheetViews>
  <sheetFormatPr defaultColWidth="9.00390625" defaultRowHeight="15"/>
  <cols>
    <col min="1" max="1" width="0.71875" style="90" customWidth="1"/>
    <col min="2" max="2" width="13.421875" style="90" customWidth="1"/>
    <col min="3" max="3" width="36.421875" style="90" customWidth="1"/>
    <col min="4" max="4" width="18.28125" style="90" customWidth="1"/>
    <col min="5" max="5" width="28.7109375" style="123" customWidth="1"/>
    <col min="6" max="6" width="20.8515625" style="90" customWidth="1"/>
    <col min="7" max="8" width="16.28125" style="90" bestFit="1" customWidth="1"/>
    <col min="9" max="9" width="35.140625" style="90" customWidth="1"/>
    <col min="10" max="13" width="14.140625" style="90" customWidth="1"/>
    <col min="14" max="16" width="9.00390625" style="90" customWidth="1"/>
    <col min="17" max="16384" width="9.00390625" style="90" customWidth="1"/>
  </cols>
  <sheetData>
    <row r="1" spans="2:7" ht="32.25" customHeight="1">
      <c r="B1" s="227" t="s">
        <v>144</v>
      </c>
      <c r="C1" s="227"/>
      <c r="D1" s="227"/>
      <c r="E1" s="227"/>
      <c r="F1" s="227"/>
      <c r="G1" s="227"/>
    </row>
    <row r="2" spans="2:7" ht="25.5" customHeight="1">
      <c r="B2" s="230" t="s">
        <v>151</v>
      </c>
      <c r="C2" s="149" t="s">
        <v>64</v>
      </c>
      <c r="D2" s="152">
        <f>'ورود اطلاعات اولیه'!C22</f>
        <v>600000000</v>
      </c>
      <c r="E2" s="150"/>
      <c r="F2" s="148"/>
      <c r="G2" s="151"/>
    </row>
    <row r="3" spans="2:7" ht="26.25" customHeight="1">
      <c r="B3" s="230"/>
      <c r="C3" s="152" t="s">
        <v>50</v>
      </c>
      <c r="D3" s="152">
        <f>'ورود اطلاعات اولیه'!C23</f>
        <v>300000000</v>
      </c>
      <c r="E3" s="150"/>
      <c r="F3" s="148"/>
      <c r="G3" s="151"/>
    </row>
    <row r="4" spans="2:7" ht="36" customHeight="1">
      <c r="B4" s="230"/>
      <c r="C4" s="153" t="s">
        <v>150</v>
      </c>
      <c r="D4" s="152">
        <f>'ورود اطلاعات اولیه'!C24</f>
        <v>40000000</v>
      </c>
      <c r="E4" s="150"/>
      <c r="F4" s="148"/>
      <c r="G4" s="151"/>
    </row>
    <row r="5" spans="2:7" ht="17.25" customHeight="1">
      <c r="B5" s="230"/>
      <c r="C5" s="152" t="s">
        <v>145</v>
      </c>
      <c r="D5" s="152">
        <f>'ورود اطلاعات اولیه'!D20</f>
        <v>93</v>
      </c>
      <c r="E5" s="150"/>
      <c r="F5" s="148"/>
      <c r="G5" s="151"/>
    </row>
    <row r="6" spans="2:7" ht="17.25" customHeight="1">
      <c r="B6" s="230"/>
      <c r="C6" s="152" t="s">
        <v>148</v>
      </c>
      <c r="D6" s="152">
        <f>'ورود اطلاعات اولیه'!D44</f>
        <v>366</v>
      </c>
      <c r="E6" s="154"/>
      <c r="F6" s="148"/>
      <c r="G6" s="151"/>
    </row>
    <row r="7" spans="2:8" ht="17.25" customHeight="1" hidden="1">
      <c r="B7" s="91"/>
      <c r="C7" s="91"/>
      <c r="D7" s="91"/>
      <c r="E7" s="92"/>
      <c r="F7" s="91"/>
      <c r="G7" s="90" t="s">
        <v>110</v>
      </c>
      <c r="H7" s="90" t="s">
        <v>111</v>
      </c>
    </row>
    <row r="8" spans="2:8" ht="17.25" customHeight="1" hidden="1">
      <c r="B8" s="91"/>
      <c r="C8" s="91" t="s">
        <v>35</v>
      </c>
      <c r="D8" s="91">
        <f>D2</f>
        <v>600000000</v>
      </c>
      <c r="E8" s="92" t="s">
        <v>39</v>
      </c>
      <c r="F8" s="91">
        <f>D8*D6/D10</f>
        <v>2361290322.580645</v>
      </c>
      <c r="G8" s="93">
        <f>F8</f>
        <v>2361290322.580645</v>
      </c>
      <c r="H8" s="93">
        <f>D9-E23</f>
        <v>300000000.1</v>
      </c>
    </row>
    <row r="9" spans="2:8" ht="18" customHeight="1" hidden="1">
      <c r="B9" s="91"/>
      <c r="C9" s="91" t="s">
        <v>36</v>
      </c>
      <c r="D9" s="91">
        <f>D3+0.1</f>
        <v>300000000.1</v>
      </c>
      <c r="E9" s="92"/>
      <c r="F9" s="91"/>
      <c r="G9" s="93">
        <f>C12</f>
        <v>1440000000</v>
      </c>
      <c r="H9" s="93"/>
    </row>
    <row r="10" spans="2:12" ht="18" customHeight="1" hidden="1">
      <c r="B10" s="91"/>
      <c r="C10" s="91" t="s">
        <v>17</v>
      </c>
      <c r="D10" s="91">
        <f>D5</f>
        <v>93</v>
      </c>
      <c r="E10" s="92" t="s">
        <v>40</v>
      </c>
      <c r="F10" s="91">
        <f>F8+D9</f>
        <v>2661290322.680645</v>
      </c>
      <c r="H10" s="94"/>
      <c r="I10" s="95"/>
      <c r="J10" s="95"/>
      <c r="K10" s="95"/>
      <c r="L10" s="95"/>
    </row>
    <row r="11" spans="2:13" ht="18" customHeight="1" hidden="1">
      <c r="B11" s="96"/>
      <c r="C11" s="96" t="s">
        <v>139</v>
      </c>
      <c r="D11" s="96" t="s">
        <v>38</v>
      </c>
      <c r="E11" s="97"/>
      <c r="F11" s="98"/>
      <c r="G11" s="93">
        <f>F8-D23</f>
        <v>921290322.5806451</v>
      </c>
      <c r="H11" s="99">
        <f>D9-F23</f>
        <v>300000000.1</v>
      </c>
      <c r="I11" s="95"/>
      <c r="J11" s="94"/>
      <c r="K11" s="100"/>
      <c r="L11" s="100"/>
      <c r="M11" s="95"/>
    </row>
    <row r="12" spans="2:13" ht="18" customHeight="1" hidden="1">
      <c r="B12" s="96">
        <v>1</v>
      </c>
      <c r="C12" s="96">
        <v>1440000000</v>
      </c>
      <c r="D12" s="96"/>
      <c r="E12" s="97">
        <v>0</v>
      </c>
      <c r="F12" s="98">
        <v>0</v>
      </c>
      <c r="G12" s="93">
        <f>C13-C12</f>
        <v>540000000</v>
      </c>
      <c r="H12" s="88"/>
      <c r="I12" s="101"/>
      <c r="J12" s="94"/>
      <c r="K12" s="100"/>
      <c r="L12" s="100"/>
      <c r="M12" s="95"/>
    </row>
    <row r="13" spans="2:13" ht="18" customHeight="1" hidden="1">
      <c r="B13" s="96">
        <v>1440000000</v>
      </c>
      <c r="C13" s="96">
        <v>1980000000</v>
      </c>
      <c r="D13" s="96">
        <f>C13-B13</f>
        <v>540000000</v>
      </c>
      <c r="E13" s="97">
        <v>0.1</v>
      </c>
      <c r="F13" s="96">
        <f aca="true" t="shared" si="0" ref="F13:F21">D13*E13</f>
        <v>54000000</v>
      </c>
      <c r="H13" s="95"/>
      <c r="I13" s="101"/>
      <c r="J13" s="94"/>
      <c r="K13" s="100"/>
      <c r="L13" s="100"/>
      <c r="M13" s="95"/>
    </row>
    <row r="14" spans="2:13" ht="18" customHeight="1" hidden="1">
      <c r="B14" s="96">
        <v>1980000000</v>
      </c>
      <c r="C14" s="96">
        <v>3240000000</v>
      </c>
      <c r="D14" s="96">
        <f>C14-B14</f>
        <v>1260000000</v>
      </c>
      <c r="E14" s="97">
        <f>15/100</f>
        <v>0.15</v>
      </c>
      <c r="F14" s="98">
        <f t="shared" si="0"/>
        <v>189000000</v>
      </c>
      <c r="G14" s="93">
        <f>F8-(D23+D24)</f>
        <v>381290322.5806451</v>
      </c>
      <c r="H14" s="102">
        <f>D9-(F23+F24)</f>
        <v>300000000.1</v>
      </c>
      <c r="I14" s="101"/>
      <c r="J14" s="94"/>
      <c r="K14" s="100"/>
      <c r="L14" s="100"/>
      <c r="M14" s="95"/>
    </row>
    <row r="15" spans="2:13" ht="18" customHeight="1" hidden="1">
      <c r="B15" s="96">
        <v>3240000000</v>
      </c>
      <c r="C15" s="96">
        <v>4800000000</v>
      </c>
      <c r="D15" s="96">
        <f>C15-B15</f>
        <v>1560000000</v>
      </c>
      <c r="E15" s="97">
        <f>20/100</f>
        <v>0.2</v>
      </c>
      <c r="F15" s="98">
        <f t="shared" si="0"/>
        <v>312000000</v>
      </c>
      <c r="G15" s="93">
        <f>C14-C13</f>
        <v>1260000000</v>
      </c>
      <c r="H15" s="103"/>
      <c r="I15" s="101"/>
      <c r="J15" s="94"/>
      <c r="K15" s="104"/>
      <c r="L15" s="100"/>
      <c r="M15" s="95"/>
    </row>
    <row r="16" spans="2:13" ht="18" customHeight="1" hidden="1">
      <c r="B16" s="96">
        <v>4800000000</v>
      </c>
      <c r="C16" s="96">
        <v>99999999999</v>
      </c>
      <c r="D16" s="96">
        <f>C16-B16</f>
        <v>95199999999</v>
      </c>
      <c r="E16" s="97">
        <v>0.3</v>
      </c>
      <c r="F16" s="96">
        <f t="shared" si="0"/>
        <v>28559999999.7</v>
      </c>
      <c r="H16" s="95"/>
      <c r="I16" s="101"/>
      <c r="J16" s="100"/>
      <c r="K16" s="100"/>
      <c r="L16" s="100"/>
      <c r="M16" s="95"/>
    </row>
    <row r="17" spans="2:13" ht="18" customHeight="1" hidden="1">
      <c r="B17" s="96">
        <v>0</v>
      </c>
      <c r="C17" s="96">
        <v>0</v>
      </c>
      <c r="D17" s="96">
        <v>0</v>
      </c>
      <c r="E17" s="97">
        <v>0.35</v>
      </c>
      <c r="F17" s="98">
        <f t="shared" si="0"/>
        <v>0</v>
      </c>
      <c r="G17" s="93">
        <f>F8-(D23+D24+D25)</f>
        <v>0</v>
      </c>
      <c r="H17" s="102">
        <f>D9-(F23+F24+F25)</f>
        <v>0</v>
      </c>
      <c r="I17" s="101"/>
      <c r="J17" s="95"/>
      <c r="K17" s="95"/>
      <c r="L17" s="95"/>
      <c r="M17" s="95"/>
    </row>
    <row r="18" spans="2:13" ht="18.75" customHeight="1" hidden="1">
      <c r="B18" s="96">
        <v>0</v>
      </c>
      <c r="C18" s="96">
        <v>0</v>
      </c>
      <c r="D18" s="96">
        <v>0</v>
      </c>
      <c r="E18" s="97">
        <v>0.4</v>
      </c>
      <c r="F18" s="98">
        <f t="shared" si="0"/>
        <v>0</v>
      </c>
      <c r="G18" s="93">
        <f>C15-C14</f>
        <v>1560000000</v>
      </c>
      <c r="H18" s="103"/>
      <c r="I18" s="101"/>
      <c r="J18" s="95"/>
      <c r="K18" s="95"/>
      <c r="L18" s="95"/>
      <c r="M18" s="95"/>
    </row>
    <row r="19" spans="2:13" ht="18.75" customHeight="1" hidden="1">
      <c r="B19" s="96">
        <v>0</v>
      </c>
      <c r="C19" s="96">
        <v>0</v>
      </c>
      <c r="D19" s="96">
        <v>0</v>
      </c>
      <c r="E19" s="97">
        <v>0.45</v>
      </c>
      <c r="F19" s="96">
        <f t="shared" si="0"/>
        <v>0</v>
      </c>
      <c r="H19" s="95"/>
      <c r="I19" s="101"/>
      <c r="J19" s="95"/>
      <c r="K19" s="95"/>
      <c r="L19" s="95"/>
      <c r="M19" s="95"/>
    </row>
    <row r="20" spans="2:13" ht="18.75" customHeight="1" hidden="1">
      <c r="B20" s="96">
        <v>0</v>
      </c>
      <c r="C20" s="96">
        <v>0</v>
      </c>
      <c r="D20" s="96">
        <v>0</v>
      </c>
      <c r="E20" s="97">
        <v>0.5</v>
      </c>
      <c r="F20" s="96">
        <f t="shared" si="0"/>
        <v>0</v>
      </c>
      <c r="G20" s="93">
        <f>F8-(D23+D24+D25+D26)</f>
        <v>0</v>
      </c>
      <c r="H20" s="102">
        <f>D9-(F23+F24+F25+F26)</f>
        <v>0</v>
      </c>
      <c r="I20" s="101"/>
      <c r="J20" s="95"/>
      <c r="K20" s="95"/>
      <c r="L20" s="95"/>
      <c r="M20" s="95"/>
    </row>
    <row r="21" spans="2:13" ht="18.75" customHeight="1" hidden="1">
      <c r="B21" s="96">
        <v>0</v>
      </c>
      <c r="C21" s="96">
        <v>0</v>
      </c>
      <c r="D21" s="96">
        <v>0</v>
      </c>
      <c r="E21" s="97">
        <v>0.55</v>
      </c>
      <c r="F21" s="96">
        <f t="shared" si="0"/>
        <v>0</v>
      </c>
      <c r="G21" s="93">
        <f>C16-C15</f>
        <v>95199999999</v>
      </c>
      <c r="H21" s="103"/>
      <c r="I21" s="101"/>
      <c r="J21" s="95"/>
      <c r="K21" s="95"/>
      <c r="L21" s="95"/>
      <c r="M21" s="95"/>
    </row>
    <row r="22" spans="2:13" ht="18.75" customHeight="1" hidden="1" thickBot="1">
      <c r="B22" s="91"/>
      <c r="C22" s="91" t="s">
        <v>43</v>
      </c>
      <c r="D22" s="105" t="s">
        <v>42</v>
      </c>
      <c r="E22" s="92"/>
      <c r="F22" s="106" t="s">
        <v>41</v>
      </c>
      <c r="H22" s="95"/>
      <c r="I22" s="101"/>
      <c r="J22" s="95"/>
      <c r="K22" s="95"/>
      <c r="L22" s="95"/>
      <c r="M22" s="95"/>
    </row>
    <row r="23" spans="2:13" ht="18.75" customHeight="1" hidden="1" thickBot="1">
      <c r="B23" s="107">
        <v>1</v>
      </c>
      <c r="C23" s="108">
        <v>0</v>
      </c>
      <c r="D23" s="107">
        <f>IF(G8&lt;=G9,G8,G9)</f>
        <v>1440000000</v>
      </c>
      <c r="E23" s="109">
        <f>C12-D23</f>
        <v>0</v>
      </c>
      <c r="F23" s="107">
        <f>IF(D23=C12,0,E23)+IF(D9&gt;E23,0,D9)+IF(D9&lt;=E23,D9-(E23+D9),0)</f>
        <v>0</v>
      </c>
      <c r="G23" s="110">
        <f>F8-(D23+D24+D25+D26+D27)</f>
        <v>0</v>
      </c>
      <c r="H23" s="102">
        <f>D9-(F23+F24+F25+F26+F27)</f>
        <v>0</v>
      </c>
      <c r="I23" s="130" t="s">
        <v>113</v>
      </c>
      <c r="J23" s="95"/>
      <c r="K23" s="95"/>
      <c r="L23" s="95"/>
      <c r="M23" s="95"/>
    </row>
    <row r="24" spans="2:13" ht="18.75" customHeight="1" hidden="1" thickBot="1">
      <c r="B24" s="107">
        <v>2</v>
      </c>
      <c r="C24" s="108">
        <f aca="true" t="shared" si="1" ref="C24:C32">D13</f>
        <v>540000000</v>
      </c>
      <c r="D24" s="107">
        <f>IF(G11&lt;=G12,G11,G12)</f>
        <v>540000000</v>
      </c>
      <c r="E24" s="112">
        <f>C24-D24</f>
        <v>0</v>
      </c>
      <c r="F24" s="107">
        <f>IF(H11&gt;=E24,E24,H11)</f>
        <v>0</v>
      </c>
      <c r="G24" s="110">
        <f>C17-C16</f>
        <v>-99999999999</v>
      </c>
      <c r="H24" s="103"/>
      <c r="I24" s="111"/>
      <c r="J24" s="95"/>
      <c r="K24" s="95"/>
      <c r="L24" s="95"/>
      <c r="M24" s="95"/>
    </row>
    <row r="25" spans="2:13" ht="18.75" customHeight="1" hidden="1" thickBot="1">
      <c r="B25" s="107">
        <v>3</v>
      </c>
      <c r="C25" s="108">
        <f t="shared" si="1"/>
        <v>1260000000</v>
      </c>
      <c r="D25" s="107">
        <f>IF(G14&lt;=G15,G14,G15)</f>
        <v>381290322.5806451</v>
      </c>
      <c r="E25" s="112">
        <f aca="true" t="shared" si="2" ref="E25:E32">C25-D25</f>
        <v>878709677.4193549</v>
      </c>
      <c r="F25" s="107">
        <f>IF(H14&gt;=E25,E25,H14)</f>
        <v>300000000.1</v>
      </c>
      <c r="H25" s="95"/>
      <c r="I25" s="95"/>
      <c r="J25" s="95"/>
      <c r="K25" s="95"/>
      <c r="L25" s="95"/>
      <c r="M25" s="95"/>
    </row>
    <row r="26" spans="2:13" ht="18.75" customHeight="1" hidden="1" thickBot="1">
      <c r="B26" s="107">
        <v>4</v>
      </c>
      <c r="C26" s="108">
        <f t="shared" si="1"/>
        <v>1560000000</v>
      </c>
      <c r="D26" s="107">
        <f>IF(G17&lt;=G18,G17,G18)</f>
        <v>0</v>
      </c>
      <c r="E26" s="112">
        <f t="shared" si="2"/>
        <v>1560000000</v>
      </c>
      <c r="F26" s="107">
        <f>IF(H17&gt;=E26,E26,H17)</f>
        <v>0</v>
      </c>
      <c r="G26" s="110">
        <f>F8-(D23+D24+D25+D26+D27+D28)</f>
        <v>0</v>
      </c>
      <c r="H26" s="102">
        <f>D9-(F23+F24+F25+F26+F27+F28)</f>
        <v>0</v>
      </c>
      <c r="I26" s="95"/>
      <c r="J26" s="95"/>
      <c r="K26" s="95"/>
      <c r="L26" s="95"/>
      <c r="M26" s="95"/>
    </row>
    <row r="27" spans="2:13" ht="18.75" customHeight="1" hidden="1" thickBot="1">
      <c r="B27" s="107">
        <v>5</v>
      </c>
      <c r="C27" s="108">
        <f t="shared" si="1"/>
        <v>95199999999</v>
      </c>
      <c r="D27" s="107">
        <f>IF(G20&lt;=G21,G20,G21)</f>
        <v>0</v>
      </c>
      <c r="E27" s="112">
        <f t="shared" si="2"/>
        <v>95199999999</v>
      </c>
      <c r="F27" s="107">
        <f>IF(H20&gt;=E27,E27,H20)</f>
        <v>0</v>
      </c>
      <c r="G27" s="110">
        <f>C18-C17</f>
        <v>0</v>
      </c>
      <c r="H27" s="103"/>
      <c r="I27" s="95"/>
      <c r="J27" s="95"/>
      <c r="K27" s="95"/>
      <c r="L27" s="95"/>
      <c r="M27" s="95"/>
    </row>
    <row r="28" spans="2:13" ht="18.75" customHeight="1" hidden="1" thickBot="1">
      <c r="B28" s="107">
        <v>6</v>
      </c>
      <c r="C28" s="108">
        <f t="shared" si="1"/>
        <v>0</v>
      </c>
      <c r="D28" s="107">
        <f>IF(I23&lt;=I24,I23,I24)</f>
        <v>0</v>
      </c>
      <c r="E28" s="112">
        <f t="shared" si="2"/>
        <v>0</v>
      </c>
      <c r="F28" s="107">
        <f>IF(H23&gt;=E28,E28,H23)</f>
        <v>0</v>
      </c>
      <c r="H28" s="95"/>
      <c r="I28" s="95"/>
      <c r="J28" s="95"/>
      <c r="K28" s="95"/>
      <c r="L28" s="95"/>
      <c r="M28" s="95"/>
    </row>
    <row r="29" spans="2:13" ht="18.75" customHeight="1" hidden="1" thickBot="1">
      <c r="B29" s="107">
        <v>7</v>
      </c>
      <c r="C29" s="108">
        <f t="shared" si="1"/>
        <v>0</v>
      </c>
      <c r="D29" s="107">
        <f>IF(G26&lt;=G27,G26,G27)</f>
        <v>0</v>
      </c>
      <c r="E29" s="112">
        <f t="shared" si="2"/>
        <v>0</v>
      </c>
      <c r="F29" s="107">
        <f>IF(H26&gt;=E29,E29,H26)</f>
        <v>0</v>
      </c>
      <c r="G29" s="110">
        <f>F8-(D23+D24+D25+D26+D27+D28+D29)</f>
        <v>0</v>
      </c>
      <c r="H29" s="102">
        <f>D9-(F23+F24+F25+F26+F27+F28+F29)</f>
        <v>0</v>
      </c>
      <c r="I29" s="95"/>
      <c r="J29" s="95"/>
      <c r="K29" s="95"/>
      <c r="L29" s="95"/>
      <c r="M29" s="95"/>
    </row>
    <row r="30" spans="2:13" ht="18.75" customHeight="1" hidden="1" thickBot="1">
      <c r="B30" s="107">
        <v>8</v>
      </c>
      <c r="C30" s="108">
        <f t="shared" si="1"/>
        <v>0</v>
      </c>
      <c r="D30" s="107">
        <f>IF(G29&lt;=G30,G29,G30)</f>
        <v>0</v>
      </c>
      <c r="E30" s="112">
        <f t="shared" si="2"/>
        <v>0</v>
      </c>
      <c r="F30" s="107">
        <f>IF(H29&gt;=E30,E30,H29)</f>
        <v>0</v>
      </c>
      <c r="G30" s="110">
        <f>C19-C18</f>
        <v>0</v>
      </c>
      <c r="H30" s="103"/>
      <c r="I30" s="95"/>
      <c r="J30" s="95"/>
      <c r="K30" s="95"/>
      <c r="L30" s="95"/>
      <c r="M30" s="95"/>
    </row>
    <row r="31" spans="2:13" ht="18.75" customHeight="1" hidden="1" thickBot="1">
      <c r="B31" s="107">
        <v>9</v>
      </c>
      <c r="C31" s="108">
        <f t="shared" si="1"/>
        <v>0</v>
      </c>
      <c r="D31" s="107">
        <f>IF(G32&lt;=G33,G32,G33)</f>
        <v>0</v>
      </c>
      <c r="E31" s="112">
        <f t="shared" si="2"/>
        <v>0</v>
      </c>
      <c r="F31" s="107">
        <f>IF(H32&gt;=E31,E31,H32)</f>
        <v>0</v>
      </c>
      <c r="H31" s="95"/>
      <c r="I31" s="95"/>
      <c r="J31" s="95"/>
      <c r="K31" s="95"/>
      <c r="L31" s="95"/>
      <c r="M31" s="95"/>
    </row>
    <row r="32" spans="2:13" ht="18.75" customHeight="1" hidden="1" thickBot="1">
      <c r="B32" s="107">
        <v>10</v>
      </c>
      <c r="C32" s="108">
        <f t="shared" si="1"/>
        <v>0</v>
      </c>
      <c r="D32" s="107">
        <f>G35</f>
        <v>0</v>
      </c>
      <c r="E32" s="112">
        <f t="shared" si="2"/>
        <v>0</v>
      </c>
      <c r="F32" s="107">
        <f>H35</f>
        <v>0</v>
      </c>
      <c r="G32" s="110">
        <f>F8-(D23+D24+D25+D26+D27+D28+D29+D30)</f>
        <v>0</v>
      </c>
      <c r="H32" s="102">
        <f>D9-(F23+F24+F25+F26+F27+F28+F29+F30)</f>
        <v>0</v>
      </c>
      <c r="I32" s="95"/>
      <c r="J32" s="95"/>
      <c r="K32" s="95"/>
      <c r="L32" s="95"/>
      <c r="M32" s="95"/>
    </row>
    <row r="33" spans="3:13" ht="18.75" customHeight="1" hidden="1" thickBot="1">
      <c r="C33" s="108" t="s">
        <v>114</v>
      </c>
      <c r="D33" s="108">
        <f>SUM(D23:D32)</f>
        <v>2361290322.580645</v>
      </c>
      <c r="E33" s="113"/>
      <c r="F33" s="108">
        <f>SUM(F23:F32)</f>
        <v>300000000.1</v>
      </c>
      <c r="G33" s="110">
        <f>C20-C19</f>
        <v>0</v>
      </c>
      <c r="H33" s="103"/>
      <c r="I33" s="95"/>
      <c r="J33" s="95"/>
      <c r="K33" s="95"/>
      <c r="L33" s="95"/>
      <c r="M33" s="95"/>
    </row>
    <row r="34" spans="5:13" ht="18.75" customHeight="1" hidden="1">
      <c r="E34" s="113"/>
      <c r="H34" s="95"/>
      <c r="I34" s="95"/>
      <c r="J34" s="95"/>
      <c r="K34" s="95"/>
      <c r="L34" s="95"/>
      <c r="M34" s="95"/>
    </row>
    <row r="35" spans="5:13" ht="18.75" customHeight="1" hidden="1">
      <c r="E35" s="113">
        <f>D33+F33</f>
        <v>2661290322.680645</v>
      </c>
      <c r="G35" s="93">
        <f>F8-(D23+D24+D25+D26+D27+D28+D29+D30+D31)</f>
        <v>0</v>
      </c>
      <c r="H35" s="102">
        <f>D9-(F23+F24+F25+F26+F27+F28+F29+F30+F31)</f>
        <v>0</v>
      </c>
      <c r="I35" s="95"/>
      <c r="J35" s="95"/>
      <c r="K35" s="95"/>
      <c r="L35" s="95"/>
      <c r="M35" s="95"/>
    </row>
    <row r="36" spans="5:13" ht="18.75" customHeight="1" hidden="1">
      <c r="E36" s="113"/>
      <c r="H36" s="95"/>
      <c r="I36" s="95"/>
      <c r="J36" s="95"/>
      <c r="K36" s="95"/>
      <c r="L36" s="95"/>
      <c r="M36" s="95"/>
    </row>
    <row r="37" spans="5:13" ht="18.75" customHeight="1" hidden="1">
      <c r="E37" s="113"/>
      <c r="H37" s="95"/>
      <c r="I37" s="95"/>
      <c r="J37" s="95"/>
      <c r="K37" s="95"/>
      <c r="L37" s="95"/>
      <c r="M37" s="95"/>
    </row>
    <row r="38" spans="5:13" ht="2.25" customHeight="1">
      <c r="E38" s="113"/>
      <c r="H38" s="95"/>
      <c r="I38" s="95"/>
      <c r="J38" s="95"/>
      <c r="K38" s="95"/>
      <c r="L38" s="95"/>
      <c r="M38" s="95"/>
    </row>
    <row r="39" spans="2:12" ht="18.75" customHeight="1">
      <c r="B39" s="228" t="s">
        <v>149</v>
      </c>
      <c r="C39" s="228"/>
      <c r="D39" s="228"/>
      <c r="E39" s="228"/>
      <c r="F39" s="228"/>
      <c r="G39" s="228"/>
      <c r="H39" s="95"/>
      <c r="I39" s="95"/>
      <c r="J39" s="95"/>
      <c r="K39" s="95"/>
      <c r="L39" s="95"/>
    </row>
    <row r="40" spans="2:12" ht="46.5" customHeight="1">
      <c r="B40" s="114" t="s">
        <v>49</v>
      </c>
      <c r="C40" s="114" t="s">
        <v>44</v>
      </c>
      <c r="D40" s="114" t="s">
        <v>45</v>
      </c>
      <c r="E40" s="114" t="s">
        <v>83</v>
      </c>
      <c r="F40" s="114" t="s">
        <v>46</v>
      </c>
      <c r="G40" s="114" t="s">
        <v>47</v>
      </c>
      <c r="H40" s="95"/>
      <c r="I40" s="95"/>
      <c r="J40" s="95"/>
      <c r="K40" s="95"/>
      <c r="L40" s="95"/>
    </row>
    <row r="41" spans="2:7" ht="18.75" customHeight="1">
      <c r="B41" s="114">
        <v>1</v>
      </c>
      <c r="C41" s="114">
        <f>D23</f>
        <v>1440000000</v>
      </c>
      <c r="D41" s="114">
        <f>F23</f>
        <v>0</v>
      </c>
      <c r="E41" s="115">
        <v>0</v>
      </c>
      <c r="F41" s="114">
        <v>0</v>
      </c>
      <c r="G41" s="116">
        <v>0</v>
      </c>
    </row>
    <row r="42" spans="2:7" ht="18.75" customHeight="1">
      <c r="B42" s="114">
        <v>2</v>
      </c>
      <c r="C42" s="114">
        <f aca="true" t="shared" si="3" ref="C42:C50">D24</f>
        <v>540000000</v>
      </c>
      <c r="D42" s="114">
        <f aca="true" t="shared" si="4" ref="D42:D50">F24</f>
        <v>0</v>
      </c>
      <c r="E42" s="115">
        <v>0.1</v>
      </c>
      <c r="F42" s="114">
        <f aca="true" t="shared" si="5" ref="F42:F50">C42*E42</f>
        <v>54000000</v>
      </c>
      <c r="G42" s="116">
        <f aca="true" t="shared" si="6" ref="G42:G50">D42*E42</f>
        <v>0</v>
      </c>
    </row>
    <row r="43" spans="2:7" ht="18.75" customHeight="1">
      <c r="B43" s="114">
        <v>3</v>
      </c>
      <c r="C43" s="114">
        <f t="shared" si="3"/>
        <v>381290322.5806451</v>
      </c>
      <c r="D43" s="114">
        <f t="shared" si="4"/>
        <v>300000000.1</v>
      </c>
      <c r="E43" s="115">
        <v>0.15</v>
      </c>
      <c r="F43" s="114">
        <f t="shared" si="5"/>
        <v>57193548.38709676</v>
      </c>
      <c r="G43" s="116">
        <f t="shared" si="6"/>
        <v>45000000.015</v>
      </c>
    </row>
    <row r="44" spans="2:7" ht="18.75" customHeight="1">
      <c r="B44" s="114">
        <v>4</v>
      </c>
      <c r="C44" s="114">
        <f t="shared" si="3"/>
        <v>0</v>
      </c>
      <c r="D44" s="114">
        <f t="shared" si="4"/>
        <v>0</v>
      </c>
      <c r="E44" s="115">
        <v>0.2</v>
      </c>
      <c r="F44" s="114">
        <f t="shared" si="5"/>
        <v>0</v>
      </c>
      <c r="G44" s="116">
        <f t="shared" si="6"/>
        <v>0</v>
      </c>
    </row>
    <row r="45" spans="2:7" ht="18.75" customHeight="1">
      <c r="B45" s="114">
        <v>5</v>
      </c>
      <c r="C45" s="114">
        <f t="shared" si="3"/>
        <v>0</v>
      </c>
      <c r="D45" s="114">
        <f t="shared" si="4"/>
        <v>0</v>
      </c>
      <c r="E45" s="115">
        <v>0.3</v>
      </c>
      <c r="F45" s="114">
        <f t="shared" si="5"/>
        <v>0</v>
      </c>
      <c r="G45" s="116">
        <f t="shared" si="6"/>
        <v>0</v>
      </c>
    </row>
    <row r="46" spans="2:7" ht="17.25" customHeight="1" hidden="1">
      <c r="B46" s="114">
        <v>6</v>
      </c>
      <c r="C46" s="114">
        <f t="shared" si="3"/>
        <v>0</v>
      </c>
      <c r="D46" s="114">
        <f t="shared" si="4"/>
        <v>0</v>
      </c>
      <c r="E46" s="115">
        <v>0</v>
      </c>
      <c r="F46" s="114">
        <f t="shared" si="5"/>
        <v>0</v>
      </c>
      <c r="G46" s="116">
        <f t="shared" si="6"/>
        <v>0</v>
      </c>
    </row>
    <row r="47" spans="2:7" ht="17.25" customHeight="1" hidden="1">
      <c r="B47" s="114">
        <v>7</v>
      </c>
      <c r="C47" s="114">
        <f t="shared" si="3"/>
        <v>0</v>
      </c>
      <c r="D47" s="114">
        <f t="shared" si="4"/>
        <v>0</v>
      </c>
      <c r="E47" s="115">
        <v>0</v>
      </c>
      <c r="F47" s="114">
        <f t="shared" si="5"/>
        <v>0</v>
      </c>
      <c r="G47" s="116">
        <f t="shared" si="6"/>
        <v>0</v>
      </c>
    </row>
    <row r="48" spans="2:7" ht="17.25" customHeight="1" hidden="1">
      <c r="B48" s="114">
        <v>8</v>
      </c>
      <c r="C48" s="114">
        <f t="shared" si="3"/>
        <v>0</v>
      </c>
      <c r="D48" s="114">
        <f t="shared" si="4"/>
        <v>0</v>
      </c>
      <c r="E48" s="115">
        <v>0</v>
      </c>
      <c r="F48" s="114">
        <f t="shared" si="5"/>
        <v>0</v>
      </c>
      <c r="G48" s="116">
        <f t="shared" si="6"/>
        <v>0</v>
      </c>
    </row>
    <row r="49" spans="2:7" ht="17.25" customHeight="1" hidden="1">
      <c r="B49" s="114">
        <v>9</v>
      </c>
      <c r="C49" s="114">
        <f t="shared" si="3"/>
        <v>0</v>
      </c>
      <c r="D49" s="114">
        <f t="shared" si="4"/>
        <v>0</v>
      </c>
      <c r="E49" s="115">
        <v>0</v>
      </c>
      <c r="F49" s="114">
        <f t="shared" si="5"/>
        <v>0</v>
      </c>
      <c r="G49" s="116">
        <f t="shared" si="6"/>
        <v>0</v>
      </c>
    </row>
    <row r="50" spans="2:7" ht="17.25" customHeight="1" hidden="1">
      <c r="B50" s="114">
        <v>10</v>
      </c>
      <c r="C50" s="114">
        <f t="shared" si="3"/>
        <v>0</v>
      </c>
      <c r="D50" s="114">
        <f t="shared" si="4"/>
        <v>0</v>
      </c>
      <c r="E50" s="115">
        <v>0</v>
      </c>
      <c r="F50" s="114">
        <f t="shared" si="5"/>
        <v>0</v>
      </c>
      <c r="G50" s="116">
        <f t="shared" si="6"/>
        <v>0</v>
      </c>
    </row>
    <row r="51" spans="2:7" ht="40.5">
      <c r="B51" s="155" t="s">
        <v>48</v>
      </c>
      <c r="C51" s="164">
        <f>SUM(C41:C50)</f>
        <v>2361290322.580645</v>
      </c>
      <c r="D51" s="164">
        <f>SUM(D41:D50)</f>
        <v>300000000.1</v>
      </c>
      <c r="E51" s="156" t="s">
        <v>48</v>
      </c>
      <c r="F51" s="164">
        <f>SUM(F41:F50)</f>
        <v>111193548.38709676</v>
      </c>
      <c r="G51" s="157">
        <f>SUM(G41:G50)</f>
        <v>45000000.015</v>
      </c>
    </row>
    <row r="52" spans="5:7" ht="9" customHeight="1">
      <c r="E52" s="119"/>
      <c r="F52" s="118"/>
      <c r="G52" s="120"/>
    </row>
    <row r="53" spans="5:7" ht="33.75" customHeight="1">
      <c r="E53" s="121" t="s">
        <v>51</v>
      </c>
      <c r="F53" s="114">
        <f>(F51/D6)*D10</f>
        <v>28254098.360655732</v>
      </c>
      <c r="G53" s="116">
        <f>G51</f>
        <v>45000000.015</v>
      </c>
    </row>
    <row r="54" spans="5:6" ht="37.5" customHeight="1">
      <c r="E54" s="122" t="s">
        <v>53</v>
      </c>
      <c r="F54" s="114">
        <f>F53+G53</f>
        <v>73254098.37565574</v>
      </c>
    </row>
    <row r="55" spans="5:6" ht="39.75" customHeight="1">
      <c r="E55" s="122" t="s">
        <v>52</v>
      </c>
      <c r="F55" s="131">
        <f>D4*-1</f>
        <v>-40000000</v>
      </c>
    </row>
    <row r="56" spans="5:6" ht="47.25" customHeight="1">
      <c r="E56" s="122" t="s">
        <v>103</v>
      </c>
      <c r="F56" s="132">
        <f>F54+F55</f>
        <v>33254098.37565574</v>
      </c>
    </row>
    <row r="57" spans="5:6" ht="53.25" customHeight="1">
      <c r="E57" s="122" t="s">
        <v>115</v>
      </c>
      <c r="F57" s="132">
        <f>F56*50%</f>
        <v>16627049.18782787</v>
      </c>
    </row>
    <row r="58" spans="2:4" ht="10.5" customHeight="1">
      <c r="B58" s="226"/>
      <c r="C58" s="226"/>
      <c r="D58" s="226"/>
    </row>
    <row r="59" spans="2:6" ht="21.75" hidden="1">
      <c r="B59" s="223" t="s">
        <v>140</v>
      </c>
      <c r="C59" s="224"/>
      <c r="D59" s="224"/>
      <c r="E59" s="224"/>
      <c r="F59" s="225"/>
    </row>
    <row r="60" spans="2:6" ht="21.75" hidden="1">
      <c r="B60" s="114" t="s">
        <v>57</v>
      </c>
      <c r="C60" s="124"/>
      <c r="D60" s="125" t="s">
        <v>55</v>
      </c>
      <c r="E60" s="124" t="s">
        <v>56</v>
      </c>
      <c r="F60" s="124" t="s">
        <v>54</v>
      </c>
    </row>
    <row r="61" spans="2:7" ht="21.75" hidden="1">
      <c r="B61" s="114">
        <v>1</v>
      </c>
      <c r="C61" s="126" t="s">
        <v>13</v>
      </c>
      <c r="D61" s="127">
        <v>120000000</v>
      </c>
      <c r="E61" s="128">
        <f>D61*12</f>
        <v>1440000000</v>
      </c>
      <c r="F61" s="126" t="s">
        <v>15</v>
      </c>
      <c r="G61" s="89"/>
    </row>
    <row r="62" spans="2:6" ht="21.75" hidden="1">
      <c r="B62" s="114">
        <v>2</v>
      </c>
      <c r="C62" s="126" t="s">
        <v>23</v>
      </c>
      <c r="D62" s="127">
        <v>165000000</v>
      </c>
      <c r="E62" s="128">
        <f>D62*12</f>
        <v>1980000000</v>
      </c>
      <c r="F62" s="129">
        <v>0.1</v>
      </c>
    </row>
    <row r="63" spans="2:6" ht="21.75" hidden="1">
      <c r="B63" s="114">
        <v>3</v>
      </c>
      <c r="C63" s="126" t="s">
        <v>24</v>
      </c>
      <c r="D63" s="127">
        <v>270000000</v>
      </c>
      <c r="E63" s="128">
        <f>D63*12</f>
        <v>3240000000</v>
      </c>
      <c r="F63" s="129">
        <v>0.15</v>
      </c>
    </row>
    <row r="64" spans="2:6" ht="21.75" hidden="1">
      <c r="B64" s="114">
        <v>4</v>
      </c>
      <c r="C64" s="126" t="s">
        <v>25</v>
      </c>
      <c r="D64" s="127">
        <v>400000000</v>
      </c>
      <c r="E64" s="128">
        <f>D64*12</f>
        <v>4800000000</v>
      </c>
      <c r="F64" s="129">
        <v>0.2</v>
      </c>
    </row>
    <row r="65" spans="2:6" ht="21.75" hidden="1">
      <c r="B65" s="114">
        <v>5</v>
      </c>
      <c r="C65" s="126" t="s">
        <v>63</v>
      </c>
      <c r="D65" s="127">
        <v>99999999999</v>
      </c>
      <c r="E65" s="128">
        <f>D65*12</f>
        <v>1199999999988</v>
      </c>
      <c r="F65" s="129">
        <v>0.3</v>
      </c>
    </row>
    <row r="66" spans="2:4" ht="10.5" customHeight="1">
      <c r="B66" s="229" t="s">
        <v>117</v>
      </c>
      <c r="C66" s="229"/>
      <c r="D66" s="229"/>
    </row>
    <row r="67" spans="2:4" ht="29.25" customHeight="1">
      <c r="B67" s="229"/>
      <c r="C67" s="229"/>
      <c r="D67" s="229"/>
    </row>
    <row r="69" ht="47.25" customHeight="1"/>
  </sheetData>
  <sheetProtection password="80FE" sheet="1" selectLockedCells="1" selectUnlockedCells="1"/>
  <mergeCells count="6">
    <mergeCell ref="B59:F59"/>
    <mergeCell ref="B58:D58"/>
    <mergeCell ref="B1:G1"/>
    <mergeCell ref="B39:G39"/>
    <mergeCell ref="B66:D67"/>
    <mergeCell ref="B2:B6"/>
  </mergeCells>
  <printOptions horizontalCentered="1" verticalCentered="1"/>
  <pageMargins left="0.5118110236220472" right="0.3937007874015748" top="0.35433070866141736" bottom="0.35433070866141736" header="0.11811023622047245" footer="0.11811023622047245"/>
  <pageSetup blackAndWhite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L70"/>
  <sheetViews>
    <sheetView rightToLeft="1" zoomScalePageLayoutView="0" workbookViewId="0" topLeftCell="A1">
      <selection activeCell="A1" sqref="A1:F1"/>
    </sheetView>
  </sheetViews>
  <sheetFormatPr defaultColWidth="9.00390625" defaultRowHeight="15"/>
  <cols>
    <col min="1" max="1" width="8.7109375" style="48" customWidth="1"/>
    <col min="2" max="2" width="21.8515625" style="48" customWidth="1"/>
    <col min="3" max="3" width="20.28125" style="48" bestFit="1" customWidth="1"/>
    <col min="4" max="4" width="13.28125" style="50" customWidth="1"/>
    <col min="5" max="5" width="17.00390625" style="48" bestFit="1" customWidth="1"/>
    <col min="6" max="6" width="12.7109375" style="48" customWidth="1"/>
    <col min="7" max="7" width="13.8515625" style="48" customWidth="1"/>
    <col min="8" max="12" width="11.7109375" style="48" customWidth="1"/>
    <col min="13" max="16384" width="9.00390625" style="48" customWidth="1"/>
  </cols>
  <sheetData>
    <row r="1" spans="1:12" ht="28.5" customHeight="1">
      <c r="A1" s="217" t="s">
        <v>85</v>
      </c>
      <c r="B1" s="217"/>
      <c r="C1" s="217"/>
      <c r="D1" s="217"/>
      <c r="E1" s="217"/>
      <c r="F1" s="217"/>
      <c r="G1" s="52"/>
      <c r="H1" s="52"/>
      <c r="I1" s="52"/>
      <c r="J1" s="52"/>
      <c r="K1" s="52"/>
      <c r="L1" s="52"/>
    </row>
    <row r="2" spans="1:12" ht="42.75" customHeight="1">
      <c r="A2" s="71"/>
      <c r="B2" s="76" t="s">
        <v>106</v>
      </c>
      <c r="C2" s="72">
        <f>'روش ماهانه 1403'!O7</f>
        <v>300000000</v>
      </c>
      <c r="D2" s="74"/>
      <c r="E2" s="73"/>
      <c r="F2" s="71"/>
      <c r="G2" s="52"/>
      <c r="H2" s="52"/>
      <c r="I2" s="52"/>
      <c r="J2" s="52"/>
      <c r="K2" s="52"/>
      <c r="L2" s="52"/>
    </row>
    <row r="3" spans="6:12" ht="33.75" customHeight="1" hidden="1">
      <c r="F3" s="48" t="s">
        <v>1</v>
      </c>
      <c r="G3" s="52" t="s">
        <v>2</v>
      </c>
      <c r="H3" s="52"/>
      <c r="I3" s="52"/>
      <c r="J3" s="52"/>
      <c r="K3" s="52"/>
      <c r="L3" s="52"/>
    </row>
    <row r="4" spans="6:12" ht="33.75" customHeight="1" hidden="1">
      <c r="F4" s="48">
        <f>C2</f>
        <v>300000000</v>
      </c>
      <c r="G4" s="52">
        <f>F4*12</f>
        <v>3600000000</v>
      </c>
      <c r="H4" s="52"/>
      <c r="I4" s="52"/>
      <c r="J4" s="52"/>
      <c r="K4" s="52"/>
      <c r="L4" s="52"/>
    </row>
    <row r="5" spans="1:12" ht="45" customHeight="1" hidden="1">
      <c r="A5" s="49"/>
      <c r="B5" s="49" t="s">
        <v>37</v>
      </c>
      <c r="C5" s="49" t="s">
        <v>38</v>
      </c>
      <c r="D5" s="51"/>
      <c r="E5" s="49"/>
      <c r="F5" s="48">
        <f>F4-B20</f>
        <v>200000000</v>
      </c>
      <c r="G5" s="52"/>
      <c r="H5" s="52"/>
      <c r="I5" s="52"/>
      <c r="J5" s="52"/>
      <c r="K5" s="52"/>
      <c r="L5" s="52"/>
    </row>
    <row r="6" spans="1:12" ht="33.75" customHeight="1" hidden="1">
      <c r="A6" s="49"/>
      <c r="B6" s="49">
        <v>1200000000</v>
      </c>
      <c r="C6" s="49"/>
      <c r="D6" s="51">
        <v>0</v>
      </c>
      <c r="E6" s="49">
        <v>0</v>
      </c>
      <c r="F6" s="48">
        <f>F5-B21</f>
        <v>160000000</v>
      </c>
      <c r="G6" s="52"/>
      <c r="H6" s="52"/>
      <c r="I6" s="52"/>
      <c r="J6" s="52"/>
      <c r="K6" s="52"/>
      <c r="L6" s="52"/>
    </row>
    <row r="7" spans="1:12" ht="33.75" customHeight="1" hidden="1">
      <c r="A7" s="49">
        <v>1200000000</v>
      </c>
      <c r="B7" s="49">
        <v>1680000000</v>
      </c>
      <c r="C7" s="49">
        <f>B7-A7</f>
        <v>480000000</v>
      </c>
      <c r="D7" s="51">
        <v>0.1</v>
      </c>
      <c r="E7" s="49">
        <f>C7*D7</f>
        <v>48000000</v>
      </c>
      <c r="F7" s="48">
        <f>F6-B22</f>
        <v>70000000</v>
      </c>
      <c r="G7" s="52"/>
      <c r="H7" s="52"/>
      <c r="I7" s="52"/>
      <c r="J7" s="52"/>
      <c r="K7" s="52"/>
      <c r="L7" s="52"/>
    </row>
    <row r="8" spans="1:12" ht="33.75" customHeight="1" hidden="1">
      <c r="A8" s="49">
        <v>1680000000</v>
      </c>
      <c r="B8" s="49">
        <v>2760000000</v>
      </c>
      <c r="C8" s="49">
        <f>B8-A8</f>
        <v>1080000000</v>
      </c>
      <c r="D8" s="51">
        <f>15/100</f>
        <v>0.15</v>
      </c>
      <c r="E8" s="49">
        <f>C8*D8</f>
        <v>162000000</v>
      </c>
      <c r="F8" s="48">
        <f>F7-B23</f>
        <v>0</v>
      </c>
      <c r="G8" s="52"/>
      <c r="H8" s="52"/>
      <c r="I8" s="52"/>
      <c r="J8" s="52"/>
      <c r="K8" s="52"/>
      <c r="L8" s="52"/>
    </row>
    <row r="9" spans="1:12" ht="33.75" customHeight="1" hidden="1">
      <c r="A9" s="49">
        <v>2760000000</v>
      </c>
      <c r="B9" s="49">
        <v>4080000000</v>
      </c>
      <c r="C9" s="49">
        <f>B9-A9</f>
        <v>1320000000</v>
      </c>
      <c r="D9" s="51">
        <f>20/100</f>
        <v>0.2</v>
      </c>
      <c r="E9" s="49">
        <f>C9*D9</f>
        <v>264000000</v>
      </c>
      <c r="F9" s="48">
        <f>F8-B24</f>
        <v>0</v>
      </c>
      <c r="G9" s="52"/>
      <c r="H9" s="52"/>
      <c r="I9" s="52"/>
      <c r="J9" s="52"/>
      <c r="K9" s="52"/>
      <c r="L9" s="52"/>
    </row>
    <row r="10" spans="1:12" ht="33.75" customHeight="1" hidden="1">
      <c r="A10" s="49">
        <v>4080000000</v>
      </c>
      <c r="B10" s="49">
        <v>999999999999999</v>
      </c>
      <c r="C10" s="49">
        <f>B10-A10</f>
        <v>999995919999999</v>
      </c>
      <c r="D10" s="51">
        <v>0.3</v>
      </c>
      <c r="E10" s="49">
        <f>C10*D10</f>
        <v>299998775999999.7</v>
      </c>
      <c r="G10" s="52"/>
      <c r="H10" s="52"/>
      <c r="I10" s="52"/>
      <c r="J10" s="52"/>
      <c r="K10" s="52"/>
      <c r="L10" s="52"/>
    </row>
    <row r="11" spans="1:12" ht="33.75" customHeight="1" hidden="1">
      <c r="A11" s="49"/>
      <c r="B11" s="49">
        <f>B6/12</f>
        <v>100000000</v>
      </c>
      <c r="C11" s="49">
        <v>0</v>
      </c>
      <c r="D11" s="51">
        <v>0</v>
      </c>
      <c r="E11" s="51">
        <v>0</v>
      </c>
      <c r="G11" s="52"/>
      <c r="H11" s="52"/>
      <c r="I11" s="52"/>
      <c r="J11" s="52"/>
      <c r="K11" s="52"/>
      <c r="L11" s="52"/>
    </row>
    <row r="12" spans="1:12" ht="33.75" customHeight="1" hidden="1">
      <c r="A12" s="49">
        <f>A7/12</f>
        <v>100000000</v>
      </c>
      <c r="B12" s="49">
        <f>B7/12</f>
        <v>140000000</v>
      </c>
      <c r="C12" s="49">
        <f>C7/12</f>
        <v>40000000</v>
      </c>
      <c r="D12" s="51">
        <v>0.1</v>
      </c>
      <c r="E12" s="49">
        <f>C12*D12</f>
        <v>4000000</v>
      </c>
      <c r="G12" s="52"/>
      <c r="H12" s="52"/>
      <c r="I12" s="52"/>
      <c r="J12" s="52"/>
      <c r="K12" s="52"/>
      <c r="L12" s="52"/>
    </row>
    <row r="13" spans="1:12" ht="33.75" customHeight="1" hidden="1">
      <c r="A13" s="49">
        <f>A8/12</f>
        <v>140000000</v>
      </c>
      <c r="B13" s="49">
        <f>B8/12</f>
        <v>230000000</v>
      </c>
      <c r="C13" s="49">
        <f>C8/12</f>
        <v>90000000</v>
      </c>
      <c r="D13" s="51">
        <f>15/100</f>
        <v>0.15</v>
      </c>
      <c r="E13" s="49">
        <f>C13*D13</f>
        <v>13500000</v>
      </c>
      <c r="G13" s="52"/>
      <c r="H13" s="52"/>
      <c r="I13" s="52"/>
      <c r="J13" s="52"/>
      <c r="K13" s="52"/>
      <c r="L13" s="52"/>
    </row>
    <row r="14" spans="1:12" ht="33.75" customHeight="1" hidden="1">
      <c r="A14" s="49">
        <f>A9/12</f>
        <v>230000000</v>
      </c>
      <c r="B14" s="49">
        <f>B9/12</f>
        <v>340000000</v>
      </c>
      <c r="C14" s="49">
        <f>C9/12</f>
        <v>110000000</v>
      </c>
      <c r="D14" s="51">
        <f>20/100</f>
        <v>0.2</v>
      </c>
      <c r="E14" s="49">
        <f>C14*D14</f>
        <v>22000000</v>
      </c>
      <c r="G14" s="52"/>
      <c r="H14" s="52"/>
      <c r="I14" s="52"/>
      <c r="J14" s="52"/>
      <c r="K14" s="52"/>
      <c r="L14" s="52"/>
    </row>
    <row r="15" spans="1:12" ht="33.75" customHeight="1" hidden="1">
      <c r="A15" s="49">
        <f>A10/12</f>
        <v>340000000</v>
      </c>
      <c r="B15" s="49">
        <f>B10/12</f>
        <v>83333333333333.25</v>
      </c>
      <c r="C15" s="49">
        <f>B15-A15</f>
        <v>83332993333333.25</v>
      </c>
      <c r="D15" s="51">
        <v>0.3</v>
      </c>
      <c r="E15" s="49">
        <f>C15*D15</f>
        <v>24999897999999.973</v>
      </c>
      <c r="G15" s="52"/>
      <c r="H15" s="52"/>
      <c r="I15" s="52"/>
      <c r="J15" s="52"/>
      <c r="K15" s="52"/>
      <c r="L15" s="52"/>
    </row>
    <row r="16" spans="4:12" ht="12" customHeight="1" hidden="1">
      <c r="D16" s="48"/>
      <c r="G16" s="52"/>
      <c r="H16" s="52"/>
      <c r="I16" s="52"/>
      <c r="J16" s="52"/>
      <c r="K16" s="52"/>
      <c r="L16" s="52"/>
    </row>
    <row r="17" spans="4:12" ht="23.25" customHeight="1" hidden="1">
      <c r="D17" s="48"/>
      <c r="G17" s="52"/>
      <c r="H17" s="52"/>
      <c r="I17" s="52"/>
      <c r="J17" s="52"/>
      <c r="K17" s="52"/>
      <c r="L17" s="52"/>
    </row>
    <row r="18" spans="1:11" ht="32.25" customHeight="1">
      <c r="A18" s="231" t="s">
        <v>88</v>
      </c>
      <c r="B18" s="231"/>
      <c r="C18" s="231"/>
      <c r="D18" s="231"/>
      <c r="E18" s="231"/>
      <c r="F18" s="231"/>
      <c r="G18" s="52"/>
      <c r="H18" s="52"/>
      <c r="I18" s="52"/>
      <c r="J18" s="52"/>
      <c r="K18" s="52"/>
    </row>
    <row r="19" spans="1:11" ht="58.5" customHeight="1">
      <c r="A19" s="61" t="s">
        <v>49</v>
      </c>
      <c r="B19" s="53" t="s">
        <v>61</v>
      </c>
      <c r="C19" s="53" t="s">
        <v>62</v>
      </c>
      <c r="D19" s="53" t="s">
        <v>83</v>
      </c>
      <c r="E19" s="53" t="s">
        <v>58</v>
      </c>
      <c r="F19" s="53" t="s">
        <v>59</v>
      </c>
      <c r="G19" s="52"/>
      <c r="H19" s="52"/>
      <c r="I19" s="52"/>
      <c r="J19" s="52"/>
      <c r="K19" s="52"/>
    </row>
    <row r="20" spans="1:11" ht="21.75">
      <c r="A20" s="53">
        <v>1</v>
      </c>
      <c r="B20" s="53">
        <f>IF(F4&lt;=100000000,F4,100000000)</f>
        <v>100000000</v>
      </c>
      <c r="C20" s="53">
        <f>B20*12</f>
        <v>1200000000</v>
      </c>
      <c r="D20" s="54">
        <v>0</v>
      </c>
      <c r="E20" s="60">
        <v>0</v>
      </c>
      <c r="F20" s="53">
        <v>0</v>
      </c>
      <c r="G20" s="52"/>
      <c r="H20" s="52"/>
      <c r="I20" s="52"/>
      <c r="J20" s="52"/>
      <c r="K20" s="52"/>
    </row>
    <row r="21" spans="1:11" ht="21.75">
      <c r="A21" s="53">
        <v>2</v>
      </c>
      <c r="B21" s="53">
        <f>IF(F5&lt;=C32,F5,C32)</f>
        <v>40000000</v>
      </c>
      <c r="C21" s="53">
        <f>B21*12</f>
        <v>480000000</v>
      </c>
      <c r="D21" s="54">
        <v>0.1</v>
      </c>
      <c r="E21" s="60">
        <f>B21*D21</f>
        <v>4000000</v>
      </c>
      <c r="F21" s="53">
        <f>C21*D21</f>
        <v>48000000</v>
      </c>
      <c r="G21" s="52"/>
      <c r="H21" s="52"/>
      <c r="I21" s="52"/>
      <c r="J21" s="52"/>
      <c r="K21" s="52"/>
    </row>
    <row r="22" spans="1:11" ht="21.75">
      <c r="A22" s="53">
        <v>3</v>
      </c>
      <c r="B22" s="53">
        <f>IF(F6&lt;=C33,F6,C33)</f>
        <v>90000000</v>
      </c>
      <c r="C22" s="53">
        <f>B22*12</f>
        <v>1080000000</v>
      </c>
      <c r="D22" s="54">
        <v>0.15</v>
      </c>
      <c r="E22" s="60">
        <f>B22*D22</f>
        <v>13500000</v>
      </c>
      <c r="F22" s="53">
        <f>C22*D22</f>
        <v>162000000</v>
      </c>
      <c r="G22" s="52"/>
      <c r="H22" s="52"/>
      <c r="I22" s="52"/>
      <c r="J22" s="52"/>
      <c r="K22" s="52"/>
    </row>
    <row r="23" spans="1:11" ht="21.75">
      <c r="A23" s="53">
        <v>4</v>
      </c>
      <c r="B23" s="53">
        <f>IF(F7&lt;=C34,F7,C34)</f>
        <v>70000000</v>
      </c>
      <c r="C23" s="53">
        <f>B23*12</f>
        <v>840000000</v>
      </c>
      <c r="D23" s="54">
        <v>0.2</v>
      </c>
      <c r="E23" s="60">
        <f>B23*D23</f>
        <v>14000000</v>
      </c>
      <c r="F23" s="53">
        <f>C23*D23</f>
        <v>168000000</v>
      </c>
      <c r="G23" s="52"/>
      <c r="H23" s="52"/>
      <c r="I23" s="52"/>
      <c r="J23" s="52"/>
      <c r="K23" s="52"/>
    </row>
    <row r="24" spans="1:11" ht="21.75">
      <c r="A24" s="53">
        <v>5</v>
      </c>
      <c r="B24" s="53">
        <f>F8</f>
        <v>0</v>
      </c>
      <c r="C24" s="53">
        <f>B24*12</f>
        <v>0</v>
      </c>
      <c r="D24" s="54">
        <v>0.3</v>
      </c>
      <c r="E24" s="60">
        <f>B24*D24</f>
        <v>0</v>
      </c>
      <c r="F24" s="53">
        <f>C24*D24</f>
        <v>0</v>
      </c>
      <c r="G24" s="52"/>
      <c r="H24" s="52"/>
      <c r="I24" s="52"/>
      <c r="J24" s="52"/>
      <c r="K24" s="52"/>
    </row>
    <row r="25" spans="1:11" ht="66">
      <c r="A25" s="55"/>
      <c r="B25" s="55"/>
      <c r="C25" s="55"/>
      <c r="D25" s="56" t="s">
        <v>60</v>
      </c>
      <c r="E25" s="60">
        <f>SUM(E20:E24)</f>
        <v>31500000</v>
      </c>
      <c r="F25" s="53">
        <f>SUM(F20:F24)</f>
        <v>378000000</v>
      </c>
      <c r="G25" s="52"/>
      <c r="H25" s="52"/>
      <c r="I25" s="52"/>
      <c r="J25" s="52"/>
      <c r="K25" s="52"/>
    </row>
    <row r="26" spans="1:11" ht="21.75">
      <c r="A26" s="55"/>
      <c r="B26" s="55"/>
      <c r="C26" s="55"/>
      <c r="D26" s="57"/>
      <c r="E26" s="55"/>
      <c r="F26" s="55"/>
      <c r="G26" s="52"/>
      <c r="H26" s="52"/>
      <c r="I26" s="52"/>
      <c r="J26" s="52"/>
      <c r="K26" s="52"/>
    </row>
    <row r="27" spans="1:11" ht="7.5" customHeight="1">
      <c r="A27" s="52"/>
      <c r="B27" s="52"/>
      <c r="C27" s="52"/>
      <c r="D27" s="58"/>
      <c r="E27" s="52"/>
      <c r="F27" s="52"/>
      <c r="G27" s="52"/>
      <c r="H27" s="52"/>
      <c r="I27" s="52"/>
      <c r="J27" s="52"/>
      <c r="K27" s="52"/>
    </row>
    <row r="28" spans="1:11" ht="9.75" customHeight="1">
      <c r="A28" s="52"/>
      <c r="B28" s="52"/>
      <c r="C28" s="52"/>
      <c r="D28" s="58"/>
      <c r="E28" s="52"/>
      <c r="F28" s="52"/>
      <c r="G28" s="52"/>
      <c r="H28" s="52"/>
      <c r="I28" s="52"/>
      <c r="J28" s="52"/>
      <c r="K28" s="52"/>
    </row>
    <row r="29" spans="1:11" ht="21.75" hidden="1">
      <c r="A29" s="219" t="s">
        <v>81</v>
      </c>
      <c r="B29" s="220"/>
      <c r="C29" s="220"/>
      <c r="D29" s="220"/>
      <c r="E29" s="221"/>
      <c r="F29" s="52"/>
      <c r="G29" s="52"/>
      <c r="H29" s="52"/>
      <c r="I29" s="52"/>
      <c r="J29" s="52"/>
      <c r="K29" s="52"/>
    </row>
    <row r="30" spans="1:11" ht="37.5" customHeight="1" hidden="1">
      <c r="A30" s="53" t="s">
        <v>86</v>
      </c>
      <c r="B30" s="53" t="s">
        <v>87</v>
      </c>
      <c r="C30" s="53" t="s">
        <v>55</v>
      </c>
      <c r="D30" s="53" t="s">
        <v>56</v>
      </c>
      <c r="E30" s="53" t="s">
        <v>54</v>
      </c>
      <c r="F30" s="52"/>
      <c r="G30" s="52"/>
      <c r="H30" s="52"/>
      <c r="I30" s="52"/>
      <c r="J30" s="52"/>
      <c r="K30" s="52"/>
    </row>
    <row r="31" spans="1:11" ht="21.75" hidden="1">
      <c r="A31" s="53">
        <v>1</v>
      </c>
      <c r="B31" s="66" t="s">
        <v>13</v>
      </c>
      <c r="C31" s="45">
        <v>100000000</v>
      </c>
      <c r="D31" s="46">
        <f>C31*12</f>
        <v>1200000000</v>
      </c>
      <c r="E31" s="66" t="s">
        <v>15</v>
      </c>
      <c r="F31" s="59"/>
      <c r="G31" s="52"/>
      <c r="H31" s="52"/>
      <c r="I31" s="52"/>
      <c r="J31" s="52"/>
      <c r="K31" s="52"/>
    </row>
    <row r="32" spans="1:11" ht="21.75" hidden="1">
      <c r="A32" s="53">
        <v>2</v>
      </c>
      <c r="B32" s="66" t="s">
        <v>23</v>
      </c>
      <c r="C32" s="45">
        <v>40000000</v>
      </c>
      <c r="D32" s="46">
        <f>C32*12</f>
        <v>480000000</v>
      </c>
      <c r="E32" s="47">
        <v>0.1</v>
      </c>
      <c r="F32" s="52"/>
      <c r="G32" s="52"/>
      <c r="H32" s="52"/>
      <c r="I32" s="52"/>
      <c r="J32" s="52"/>
      <c r="K32" s="52"/>
    </row>
    <row r="33" spans="1:11" ht="21.75" hidden="1">
      <c r="A33" s="53">
        <v>3</v>
      </c>
      <c r="B33" s="66" t="s">
        <v>24</v>
      </c>
      <c r="C33" s="45">
        <v>90000000</v>
      </c>
      <c r="D33" s="46">
        <f>C33*12</f>
        <v>1080000000</v>
      </c>
      <c r="E33" s="47">
        <v>0.15</v>
      </c>
      <c r="F33" s="52"/>
      <c r="G33" s="52"/>
      <c r="H33" s="52"/>
      <c r="I33" s="52"/>
      <c r="J33" s="52"/>
      <c r="K33" s="52"/>
    </row>
    <row r="34" spans="1:11" ht="21.75" hidden="1">
      <c r="A34" s="53">
        <v>4</v>
      </c>
      <c r="B34" s="66" t="s">
        <v>25</v>
      </c>
      <c r="C34" s="45">
        <v>110000000</v>
      </c>
      <c r="D34" s="46">
        <f>C34*12</f>
        <v>1320000000</v>
      </c>
      <c r="E34" s="47">
        <v>0.2</v>
      </c>
      <c r="F34" s="52"/>
      <c r="G34" s="52"/>
      <c r="H34" s="52"/>
      <c r="I34" s="52"/>
      <c r="J34" s="52"/>
      <c r="K34" s="52"/>
    </row>
    <row r="35" spans="1:11" ht="21.75" hidden="1">
      <c r="A35" s="53">
        <v>5</v>
      </c>
      <c r="B35" s="66" t="s">
        <v>63</v>
      </c>
      <c r="C35" s="45">
        <v>99999999999</v>
      </c>
      <c r="D35" s="46">
        <f>C35*12</f>
        <v>1199999999988</v>
      </c>
      <c r="E35" s="47">
        <v>0.3</v>
      </c>
      <c r="F35" s="52"/>
      <c r="G35" s="52"/>
      <c r="H35" s="52"/>
      <c r="I35" s="52"/>
      <c r="J35" s="52"/>
      <c r="K35" s="52"/>
    </row>
    <row r="36" spans="1:11" ht="40.5" customHeight="1">
      <c r="A36" s="52"/>
      <c r="B36" s="52"/>
      <c r="C36" s="232" t="s">
        <v>102</v>
      </c>
      <c r="D36" s="232"/>
      <c r="E36" s="232"/>
      <c r="F36" s="52"/>
      <c r="G36" s="52"/>
      <c r="H36" s="52"/>
      <c r="I36" s="52"/>
      <c r="J36" s="52"/>
      <c r="K36" s="52"/>
    </row>
    <row r="37" spans="1:11" ht="13.5" customHeight="1">
      <c r="A37" s="52"/>
      <c r="B37" s="52"/>
      <c r="C37" s="52"/>
      <c r="D37" s="58"/>
      <c r="E37" s="52"/>
      <c r="F37" s="52"/>
      <c r="G37" s="52"/>
      <c r="H37" s="52"/>
      <c r="I37" s="52"/>
      <c r="J37" s="52"/>
      <c r="K37" s="52"/>
    </row>
    <row r="38" spans="1:11" ht="30" customHeight="1">
      <c r="A38" s="52"/>
      <c r="B38" s="52"/>
      <c r="F38" s="52"/>
      <c r="G38" s="52"/>
      <c r="H38" s="52"/>
      <c r="I38" s="52"/>
      <c r="J38" s="52"/>
      <c r="K38" s="52"/>
    </row>
    <row r="39" spans="1:11" ht="21.75">
      <c r="A39" s="52"/>
      <c r="B39" s="52"/>
      <c r="C39" s="52"/>
      <c r="D39" s="58"/>
      <c r="E39" s="52"/>
      <c r="F39" s="52"/>
      <c r="G39" s="52"/>
      <c r="H39" s="52"/>
      <c r="I39" s="52"/>
      <c r="J39" s="52"/>
      <c r="K39" s="52"/>
    </row>
    <row r="40" spans="1:11" ht="21.75">
      <c r="A40" s="52"/>
      <c r="B40" s="52"/>
      <c r="C40" s="52"/>
      <c r="D40" s="58"/>
      <c r="E40" s="52"/>
      <c r="F40" s="52"/>
      <c r="G40" s="52"/>
      <c r="H40" s="52"/>
      <c r="I40" s="52"/>
      <c r="J40" s="52"/>
      <c r="K40" s="52"/>
    </row>
    <row r="41" spans="1:11" ht="21.75">
      <c r="A41" s="52"/>
      <c r="B41" s="52"/>
      <c r="C41" s="52"/>
      <c r="D41" s="58"/>
      <c r="E41" s="52"/>
      <c r="F41" s="52"/>
      <c r="G41" s="52"/>
      <c r="H41" s="52"/>
      <c r="I41" s="52"/>
      <c r="J41" s="52"/>
      <c r="K41" s="52"/>
    </row>
    <row r="42" spans="1:11" ht="21.75">
      <c r="A42" s="52"/>
      <c r="B42" s="52"/>
      <c r="C42" s="52"/>
      <c r="D42" s="58"/>
      <c r="E42" s="52"/>
      <c r="F42" s="52"/>
      <c r="G42" s="52"/>
      <c r="H42" s="52"/>
      <c r="I42" s="52"/>
      <c r="J42" s="52"/>
      <c r="K42" s="52"/>
    </row>
    <row r="43" spans="1:11" ht="21.75">
      <c r="A43" s="52"/>
      <c r="B43" s="52"/>
      <c r="C43" s="52"/>
      <c r="D43" s="58"/>
      <c r="E43" s="52"/>
      <c r="F43" s="52"/>
      <c r="G43" s="52"/>
      <c r="H43" s="52"/>
      <c r="I43" s="52"/>
      <c r="J43" s="52"/>
      <c r="K43" s="52"/>
    </row>
    <row r="44" spans="1:11" ht="21.75">
      <c r="A44" s="52"/>
      <c r="B44" s="52"/>
      <c r="C44" s="52"/>
      <c r="D44" s="58"/>
      <c r="E44" s="52"/>
      <c r="F44" s="52"/>
      <c r="G44" s="52"/>
      <c r="H44" s="52"/>
      <c r="I44" s="52"/>
      <c r="J44" s="52"/>
      <c r="K44" s="52"/>
    </row>
    <row r="45" spans="1:11" ht="21.75">
      <c r="A45" s="52"/>
      <c r="B45" s="52"/>
      <c r="C45" s="52"/>
      <c r="D45" s="58"/>
      <c r="E45" s="52"/>
      <c r="F45" s="52"/>
      <c r="G45" s="52"/>
      <c r="H45" s="52"/>
      <c r="I45" s="52"/>
      <c r="J45" s="52"/>
      <c r="K45" s="52"/>
    </row>
    <row r="46" spans="1:11" ht="21.75">
      <c r="A46" s="52"/>
      <c r="B46" s="52"/>
      <c r="C46" s="52"/>
      <c r="D46" s="58"/>
      <c r="E46" s="52"/>
      <c r="F46" s="52"/>
      <c r="G46" s="52"/>
      <c r="H46" s="52"/>
      <c r="I46" s="52"/>
      <c r="J46" s="52"/>
      <c r="K46" s="52"/>
    </row>
    <row r="47" spans="1:11" ht="21.75">
      <c r="A47" s="52"/>
      <c r="B47" s="52"/>
      <c r="C47" s="52"/>
      <c r="D47" s="58"/>
      <c r="E47" s="52"/>
      <c r="F47" s="52"/>
      <c r="G47" s="52"/>
      <c r="H47" s="52"/>
      <c r="I47" s="52"/>
      <c r="J47" s="52"/>
      <c r="K47" s="52"/>
    </row>
    <row r="48" spans="1:11" ht="21.75">
      <c r="A48" s="52"/>
      <c r="B48" s="52"/>
      <c r="C48" s="52"/>
      <c r="D48" s="58"/>
      <c r="E48" s="52"/>
      <c r="F48" s="52"/>
      <c r="G48" s="52"/>
      <c r="H48" s="52"/>
      <c r="I48" s="52"/>
      <c r="J48" s="52"/>
      <c r="K48" s="52"/>
    </row>
    <row r="49" spans="1:11" ht="21.75">
      <c r="A49" s="52"/>
      <c r="B49" s="52"/>
      <c r="C49" s="52"/>
      <c r="D49" s="58"/>
      <c r="E49" s="52"/>
      <c r="F49" s="52"/>
      <c r="G49" s="52"/>
      <c r="H49" s="52"/>
      <c r="I49" s="52"/>
      <c r="J49" s="52"/>
      <c r="K49" s="52"/>
    </row>
    <row r="50" spans="1:11" ht="21.75">
      <c r="A50" s="52"/>
      <c r="B50" s="52"/>
      <c r="C50" s="52"/>
      <c r="D50" s="58"/>
      <c r="E50" s="52"/>
      <c r="F50" s="52"/>
      <c r="G50" s="52"/>
      <c r="H50" s="52"/>
      <c r="I50" s="52"/>
      <c r="J50" s="52"/>
      <c r="K50" s="52"/>
    </row>
    <row r="51" spans="1:11" ht="21.75">
      <c r="A51" s="52"/>
      <c r="B51" s="52"/>
      <c r="C51" s="52"/>
      <c r="D51" s="58"/>
      <c r="E51" s="52"/>
      <c r="F51" s="52"/>
      <c r="G51" s="52"/>
      <c r="H51" s="52"/>
      <c r="I51" s="52"/>
      <c r="J51" s="52"/>
      <c r="K51" s="52"/>
    </row>
    <row r="52" spans="1:11" ht="21.75">
      <c r="A52" s="52"/>
      <c r="B52" s="52"/>
      <c r="C52" s="52"/>
      <c r="D52" s="58"/>
      <c r="E52" s="52"/>
      <c r="F52" s="52"/>
      <c r="G52" s="52"/>
      <c r="H52" s="52"/>
      <c r="I52" s="52"/>
      <c r="J52" s="52"/>
      <c r="K52" s="52"/>
    </row>
    <row r="53" spans="1:11" ht="21.75">
      <c r="A53" s="52"/>
      <c r="B53" s="52"/>
      <c r="C53" s="52"/>
      <c r="D53" s="58"/>
      <c r="E53" s="52"/>
      <c r="F53" s="52"/>
      <c r="G53" s="52"/>
      <c r="H53" s="52"/>
      <c r="I53" s="52"/>
      <c r="J53" s="52"/>
      <c r="K53" s="52"/>
    </row>
    <row r="54" spans="1:11" ht="21.75">
      <c r="A54" s="52"/>
      <c r="B54" s="52"/>
      <c r="C54" s="52"/>
      <c r="D54" s="58"/>
      <c r="E54" s="52"/>
      <c r="F54" s="52"/>
      <c r="G54" s="52"/>
      <c r="H54" s="52"/>
      <c r="I54" s="52"/>
      <c r="J54" s="52"/>
      <c r="K54" s="52"/>
    </row>
    <row r="55" spans="1:11" ht="21.75">
      <c r="A55" s="52"/>
      <c r="B55" s="52"/>
      <c r="C55" s="52"/>
      <c r="D55" s="58"/>
      <c r="E55" s="52"/>
      <c r="F55" s="52"/>
      <c r="G55" s="52"/>
      <c r="H55" s="52"/>
      <c r="I55" s="52"/>
      <c r="J55" s="52"/>
      <c r="K55" s="52"/>
    </row>
    <row r="56" spans="1:11" ht="21.75">
      <c r="A56" s="52"/>
      <c r="B56" s="52"/>
      <c r="C56" s="52"/>
      <c r="D56" s="58"/>
      <c r="E56" s="52"/>
      <c r="F56" s="52"/>
      <c r="G56" s="52"/>
      <c r="H56" s="52"/>
      <c r="I56" s="52"/>
      <c r="J56" s="52"/>
      <c r="K56" s="52"/>
    </row>
    <row r="57" spans="1:11" ht="21.75">
      <c r="A57" s="52"/>
      <c r="B57" s="52"/>
      <c r="C57" s="52"/>
      <c r="D57" s="58"/>
      <c r="E57" s="52"/>
      <c r="F57" s="52"/>
      <c r="G57" s="52"/>
      <c r="H57" s="52"/>
      <c r="I57" s="52"/>
      <c r="J57" s="52"/>
      <c r="K57" s="52"/>
    </row>
    <row r="58" spans="1:11" ht="21.75">
      <c r="A58" s="52"/>
      <c r="B58" s="52"/>
      <c r="C58" s="52"/>
      <c r="D58" s="58"/>
      <c r="E58" s="52"/>
      <c r="F58" s="52"/>
      <c r="G58" s="52"/>
      <c r="H58" s="52"/>
      <c r="I58" s="52"/>
      <c r="J58" s="52"/>
      <c r="K58" s="52"/>
    </row>
    <row r="59" spans="1:11" ht="21.75">
      <c r="A59" s="52"/>
      <c r="B59" s="52"/>
      <c r="C59" s="52"/>
      <c r="D59" s="58"/>
      <c r="E59" s="52"/>
      <c r="F59" s="52"/>
      <c r="G59" s="52"/>
      <c r="H59" s="52"/>
      <c r="I59" s="52"/>
      <c r="J59" s="52"/>
      <c r="K59" s="52"/>
    </row>
    <row r="60" spans="1:11" ht="21.75">
      <c r="A60" s="52"/>
      <c r="B60" s="52"/>
      <c r="C60" s="52"/>
      <c r="D60" s="58"/>
      <c r="E60" s="52"/>
      <c r="F60" s="52"/>
      <c r="G60" s="52"/>
      <c r="H60" s="52"/>
      <c r="I60" s="52"/>
      <c r="J60" s="52"/>
      <c r="K60" s="52"/>
    </row>
    <row r="61" spans="1:11" ht="21.75">
      <c r="A61" s="52"/>
      <c r="B61" s="52"/>
      <c r="C61" s="52"/>
      <c r="D61" s="58"/>
      <c r="E61" s="52"/>
      <c r="F61" s="52"/>
      <c r="G61" s="52"/>
      <c r="H61" s="52"/>
      <c r="I61" s="52"/>
      <c r="J61" s="52"/>
      <c r="K61" s="52"/>
    </row>
    <row r="62" spans="1:11" ht="21.75">
      <c r="A62" s="52"/>
      <c r="B62" s="52"/>
      <c r="C62" s="52"/>
      <c r="D62" s="58"/>
      <c r="E62" s="52"/>
      <c r="F62" s="52"/>
      <c r="G62" s="52"/>
      <c r="H62" s="52"/>
      <c r="I62" s="52"/>
      <c r="J62" s="52"/>
      <c r="K62" s="52"/>
    </row>
    <row r="63" spans="1:11" ht="21.75">
      <c r="A63" s="52"/>
      <c r="B63" s="52"/>
      <c r="C63" s="52"/>
      <c r="D63" s="58"/>
      <c r="E63" s="52"/>
      <c r="F63" s="52"/>
      <c r="G63" s="52"/>
      <c r="H63" s="52"/>
      <c r="I63" s="52"/>
      <c r="J63" s="52"/>
      <c r="K63" s="52"/>
    </row>
    <row r="64" spans="1:11" ht="21.75">
      <c r="A64" s="52"/>
      <c r="B64" s="52"/>
      <c r="C64" s="52"/>
      <c r="D64" s="58"/>
      <c r="E64" s="52"/>
      <c r="F64" s="52"/>
      <c r="G64" s="52"/>
      <c r="H64" s="52"/>
      <c r="I64" s="52"/>
      <c r="J64" s="52"/>
      <c r="K64" s="52"/>
    </row>
    <row r="65" spans="1:11" ht="21.75">
      <c r="A65" s="52"/>
      <c r="B65" s="52"/>
      <c r="C65" s="52"/>
      <c r="D65" s="58"/>
      <c r="E65" s="52"/>
      <c r="F65" s="52"/>
      <c r="G65" s="52"/>
      <c r="H65" s="52"/>
      <c r="I65" s="52"/>
      <c r="J65" s="52"/>
      <c r="K65" s="52"/>
    </row>
    <row r="66" spans="1:11" ht="21.75">
      <c r="A66" s="52"/>
      <c r="B66" s="52"/>
      <c r="C66" s="52"/>
      <c r="D66" s="58"/>
      <c r="E66" s="52"/>
      <c r="F66" s="52"/>
      <c r="G66" s="52"/>
      <c r="H66" s="52"/>
      <c r="I66" s="52"/>
      <c r="J66" s="52"/>
      <c r="K66" s="52"/>
    </row>
    <row r="67" spans="1:11" ht="21.75">
      <c r="A67" s="52"/>
      <c r="B67" s="52"/>
      <c r="C67" s="52"/>
      <c r="D67" s="58"/>
      <c r="E67" s="52"/>
      <c r="F67" s="52"/>
      <c r="G67" s="52"/>
      <c r="H67" s="52"/>
      <c r="I67" s="52"/>
      <c r="J67" s="52"/>
      <c r="K67" s="52"/>
    </row>
    <row r="68" spans="1:11" ht="21.75">
      <c r="A68" s="52"/>
      <c r="B68" s="52"/>
      <c r="C68" s="52"/>
      <c r="D68" s="58"/>
      <c r="E68" s="52"/>
      <c r="F68" s="52"/>
      <c r="G68" s="52"/>
      <c r="H68" s="52"/>
      <c r="I68" s="52"/>
      <c r="J68" s="52"/>
      <c r="K68" s="52"/>
    </row>
    <row r="69" spans="1:11" ht="21.75">
      <c r="A69" s="52"/>
      <c r="B69" s="52"/>
      <c r="C69" s="52"/>
      <c r="D69" s="58"/>
      <c r="E69" s="52"/>
      <c r="F69" s="52"/>
      <c r="G69" s="52"/>
      <c r="H69" s="52"/>
      <c r="I69" s="52"/>
      <c r="J69" s="52"/>
      <c r="K69" s="52"/>
    </row>
    <row r="70" spans="1:11" ht="21.75">
      <c r="A70" s="52"/>
      <c r="B70" s="52"/>
      <c r="C70" s="52"/>
      <c r="D70" s="58"/>
      <c r="E70" s="52"/>
      <c r="F70" s="52"/>
      <c r="G70" s="52"/>
      <c r="H70" s="52"/>
      <c r="I70" s="52"/>
      <c r="J70" s="52"/>
      <c r="K70" s="52"/>
    </row>
  </sheetData>
  <sheetProtection password="80FE" sheet="1" selectLockedCells="1" selectUnlockedCells="1"/>
  <mergeCells count="4">
    <mergeCell ref="A1:F1"/>
    <mergeCell ref="A18:F18"/>
    <mergeCell ref="A29:E29"/>
    <mergeCell ref="C36:E36"/>
  </mergeCells>
  <printOptions horizontalCentered="1"/>
  <pageMargins left="0" right="0" top="0.35433070866141736" bottom="0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L67"/>
  <sheetViews>
    <sheetView showGridLines="0" showRowColHeaders="0" rightToLeft="1" zoomScalePageLayoutView="0" workbookViewId="0" topLeftCell="A56">
      <selection activeCell="A1" sqref="A1:F1"/>
    </sheetView>
  </sheetViews>
  <sheetFormatPr defaultColWidth="9.00390625" defaultRowHeight="15"/>
  <cols>
    <col min="1" max="1" width="12.00390625" style="90" customWidth="1"/>
    <col min="2" max="2" width="23.7109375" style="90" customWidth="1"/>
    <col min="3" max="3" width="15.7109375" style="90" customWidth="1"/>
    <col min="4" max="4" width="25.7109375" style="123" customWidth="1"/>
    <col min="5" max="5" width="15.00390625" style="90" customWidth="1"/>
    <col min="6" max="6" width="13.8515625" style="90" customWidth="1"/>
    <col min="7" max="7" width="2.140625" style="90" customWidth="1"/>
    <col min="8" max="8" width="35.140625" style="90" hidden="1" customWidth="1"/>
    <col min="9" max="11" width="14.140625" style="90" hidden="1" customWidth="1"/>
    <col min="12" max="12" width="14.140625" style="90" customWidth="1"/>
    <col min="13" max="16384" width="9.00390625" style="90" customWidth="1"/>
  </cols>
  <sheetData>
    <row r="1" spans="1:9" ht="32.25" customHeight="1">
      <c r="A1" s="227" t="s">
        <v>90</v>
      </c>
      <c r="B1" s="227"/>
      <c r="C1" s="227"/>
      <c r="D1" s="227"/>
      <c r="E1" s="227"/>
      <c r="F1" s="227"/>
      <c r="H1" s="90" t="s">
        <v>92</v>
      </c>
      <c r="I1" s="90">
        <v>31</v>
      </c>
    </row>
    <row r="2" spans="1:9" ht="33.75" customHeight="1">
      <c r="A2" s="148"/>
      <c r="B2" s="179" t="s">
        <v>64</v>
      </c>
      <c r="C2" s="149">
        <f>'ورود اطلاعات اولیه'!C22</f>
        <v>600000000</v>
      </c>
      <c r="D2" s="150"/>
      <c r="E2" s="148"/>
      <c r="F2" s="151"/>
      <c r="H2" s="90" t="s">
        <v>93</v>
      </c>
      <c r="I2" s="90">
        <v>62</v>
      </c>
    </row>
    <row r="3" spans="1:9" ht="26.25" customHeight="1">
      <c r="A3" s="148"/>
      <c r="B3" s="180" t="s">
        <v>50</v>
      </c>
      <c r="C3" s="170">
        <f>'ورود اطلاعات اولیه'!C23</f>
        <v>300000000</v>
      </c>
      <c r="D3" s="150"/>
      <c r="E3" s="148"/>
      <c r="F3" s="151"/>
      <c r="H3" s="90" t="s">
        <v>6</v>
      </c>
      <c r="I3" s="90">
        <v>93</v>
      </c>
    </row>
    <row r="4" spans="1:9" ht="36" customHeight="1">
      <c r="A4" s="148"/>
      <c r="B4" s="181" t="s">
        <v>89</v>
      </c>
      <c r="C4" s="170">
        <f>'ورود اطلاعات اولیه'!C24</f>
        <v>40000000</v>
      </c>
      <c r="D4" s="150"/>
      <c r="E4" s="148"/>
      <c r="F4" s="151"/>
      <c r="H4" s="90" t="s">
        <v>94</v>
      </c>
      <c r="I4" s="90">
        <v>124</v>
      </c>
    </row>
    <row r="5" spans="1:9" ht="17.25" customHeight="1">
      <c r="A5" s="148"/>
      <c r="B5" s="180" t="s">
        <v>109</v>
      </c>
      <c r="C5" s="170">
        <f>VLOOKUP('ورود اطلاعات اولیه'!C20,H:I,2,0)</f>
        <v>93</v>
      </c>
      <c r="D5" s="150"/>
      <c r="E5" s="148"/>
      <c r="F5" s="151"/>
      <c r="H5" s="90" t="s">
        <v>7</v>
      </c>
      <c r="I5" s="90">
        <v>155</v>
      </c>
    </row>
    <row r="6" spans="1:9" ht="17.25" customHeight="1">
      <c r="A6" s="148"/>
      <c r="B6" s="180" t="s">
        <v>104</v>
      </c>
      <c r="C6" s="170">
        <v>365</v>
      </c>
      <c r="D6" s="154"/>
      <c r="E6" s="148"/>
      <c r="F6" s="151"/>
      <c r="H6" s="90" t="s">
        <v>95</v>
      </c>
      <c r="I6" s="90">
        <v>186</v>
      </c>
    </row>
    <row r="7" spans="1:9" ht="17.25" customHeight="1" hidden="1">
      <c r="A7" s="91"/>
      <c r="B7" s="91"/>
      <c r="C7" s="91"/>
      <c r="D7" s="92"/>
      <c r="E7" s="91"/>
      <c r="F7" s="90" t="s">
        <v>110</v>
      </c>
      <c r="G7" s="90" t="s">
        <v>111</v>
      </c>
      <c r="H7" s="90" t="s">
        <v>8</v>
      </c>
      <c r="I7" s="90">
        <v>216</v>
      </c>
    </row>
    <row r="8" spans="1:9" ht="17.25" customHeight="1" hidden="1">
      <c r="A8" s="91"/>
      <c r="B8" s="91" t="s">
        <v>35</v>
      </c>
      <c r="C8" s="91">
        <f>C2</f>
        <v>600000000</v>
      </c>
      <c r="D8" s="92" t="s">
        <v>39</v>
      </c>
      <c r="E8" s="91">
        <f>C8*C6/C10</f>
        <v>2354838709.677419</v>
      </c>
      <c r="F8" s="93">
        <f>E8</f>
        <v>2354838709.677419</v>
      </c>
      <c r="G8" s="93">
        <f>C9-D23</f>
        <v>300000000.1</v>
      </c>
      <c r="H8" s="90" t="s">
        <v>9</v>
      </c>
      <c r="I8" s="90">
        <v>246</v>
      </c>
    </row>
    <row r="9" spans="1:9" ht="18" customHeight="1" hidden="1">
      <c r="A9" s="91"/>
      <c r="B9" s="91" t="s">
        <v>36</v>
      </c>
      <c r="C9" s="91">
        <f>C3+0.1</f>
        <v>300000000.1</v>
      </c>
      <c r="D9" s="92"/>
      <c r="E9" s="91"/>
      <c r="F9" s="93">
        <f>B12</f>
        <v>1200000000</v>
      </c>
      <c r="G9" s="93"/>
      <c r="H9" s="90" t="s">
        <v>10</v>
      </c>
      <c r="I9" s="90">
        <v>276</v>
      </c>
    </row>
    <row r="10" spans="1:11" ht="18" customHeight="1" hidden="1">
      <c r="A10" s="91"/>
      <c r="B10" s="91" t="s">
        <v>17</v>
      </c>
      <c r="C10" s="91">
        <f>C5</f>
        <v>93</v>
      </c>
      <c r="D10" s="92" t="s">
        <v>40</v>
      </c>
      <c r="E10" s="91">
        <f>E8+C9</f>
        <v>2654838709.777419</v>
      </c>
      <c r="G10" s="94"/>
      <c r="H10" s="95" t="s">
        <v>96</v>
      </c>
      <c r="I10" s="95">
        <v>306</v>
      </c>
      <c r="J10" s="95"/>
      <c r="K10" s="95"/>
    </row>
    <row r="11" spans="1:12" ht="18" customHeight="1" hidden="1">
      <c r="A11" s="96"/>
      <c r="B11" s="96" t="s">
        <v>112</v>
      </c>
      <c r="C11" s="96" t="s">
        <v>38</v>
      </c>
      <c r="D11" s="97"/>
      <c r="E11" s="98"/>
      <c r="F11" s="93">
        <f>E8-C23</f>
        <v>1154838709.6774192</v>
      </c>
      <c r="G11" s="99">
        <f>C9-E23</f>
        <v>300000000.1</v>
      </c>
      <c r="H11" s="95" t="s">
        <v>11</v>
      </c>
      <c r="I11" s="94">
        <v>336</v>
      </c>
      <c r="J11" s="100"/>
      <c r="K11" s="100"/>
      <c r="L11" s="95"/>
    </row>
    <row r="12" spans="1:12" ht="18" customHeight="1" hidden="1">
      <c r="A12" s="96">
        <v>1</v>
      </c>
      <c r="B12" s="96">
        <v>1200000000</v>
      </c>
      <c r="C12" s="96"/>
      <c r="D12" s="97">
        <v>0</v>
      </c>
      <c r="E12" s="98">
        <v>0</v>
      </c>
      <c r="F12" s="93">
        <f>B13-B12</f>
        <v>480000000</v>
      </c>
      <c r="G12" s="88"/>
      <c r="H12" s="101" t="s">
        <v>12</v>
      </c>
      <c r="I12" s="94">
        <v>365</v>
      </c>
      <c r="J12" s="100"/>
      <c r="K12" s="100"/>
      <c r="L12" s="95"/>
    </row>
    <row r="13" spans="1:12" ht="18" customHeight="1" hidden="1">
      <c r="A13" s="96">
        <v>1200000000</v>
      </c>
      <c r="B13" s="96">
        <v>1680000000</v>
      </c>
      <c r="C13" s="96">
        <f>B13-A13</f>
        <v>480000000</v>
      </c>
      <c r="D13" s="97">
        <v>0.1</v>
      </c>
      <c r="E13" s="96">
        <f aca="true" t="shared" si="0" ref="E13:E21">C13*D13</f>
        <v>48000000</v>
      </c>
      <c r="G13" s="95"/>
      <c r="H13" s="101"/>
      <c r="I13" s="94"/>
      <c r="J13" s="100"/>
      <c r="K13" s="100"/>
      <c r="L13" s="95"/>
    </row>
    <row r="14" spans="1:12" ht="18" customHeight="1" hidden="1">
      <c r="A14" s="96">
        <v>1680000000</v>
      </c>
      <c r="B14" s="96">
        <v>2760000000</v>
      </c>
      <c r="C14" s="96">
        <f>B14-A14</f>
        <v>1080000000</v>
      </c>
      <c r="D14" s="97">
        <f>15/100</f>
        <v>0.15</v>
      </c>
      <c r="E14" s="98">
        <f t="shared" si="0"/>
        <v>162000000</v>
      </c>
      <c r="F14" s="93">
        <f>E8-(C23+C24)</f>
        <v>674838709.6774192</v>
      </c>
      <c r="G14" s="102">
        <f>C9-(E23+E24)</f>
        <v>300000000.1</v>
      </c>
      <c r="H14" s="101"/>
      <c r="I14" s="94"/>
      <c r="J14" s="100"/>
      <c r="K14" s="100"/>
      <c r="L14" s="95"/>
    </row>
    <row r="15" spans="1:12" ht="18" customHeight="1" hidden="1">
      <c r="A15" s="96">
        <v>2760000000</v>
      </c>
      <c r="B15" s="96">
        <v>4080000000</v>
      </c>
      <c r="C15" s="96">
        <f>B15-A15</f>
        <v>1320000000</v>
      </c>
      <c r="D15" s="97">
        <f>20/100</f>
        <v>0.2</v>
      </c>
      <c r="E15" s="98">
        <f t="shared" si="0"/>
        <v>264000000</v>
      </c>
      <c r="F15" s="93">
        <f>B14-B13</f>
        <v>1080000000</v>
      </c>
      <c r="G15" s="103"/>
      <c r="H15" s="101"/>
      <c r="I15" s="94"/>
      <c r="J15" s="104"/>
      <c r="K15" s="100"/>
      <c r="L15" s="95"/>
    </row>
    <row r="16" spans="1:12" ht="18" customHeight="1" hidden="1">
      <c r="A16" s="96">
        <v>4080000000</v>
      </c>
      <c r="B16" s="96">
        <v>99999999999</v>
      </c>
      <c r="C16" s="96">
        <f>B16-A16</f>
        <v>95919999999</v>
      </c>
      <c r="D16" s="97">
        <v>0.3</v>
      </c>
      <c r="E16" s="96">
        <f t="shared" si="0"/>
        <v>28775999999.7</v>
      </c>
      <c r="G16" s="95"/>
      <c r="H16" s="101"/>
      <c r="I16" s="100"/>
      <c r="J16" s="100"/>
      <c r="K16" s="100"/>
      <c r="L16" s="95"/>
    </row>
    <row r="17" spans="1:12" ht="18" customHeight="1" hidden="1">
      <c r="A17" s="96">
        <v>0</v>
      </c>
      <c r="B17" s="96">
        <v>0</v>
      </c>
      <c r="C17" s="96">
        <v>0</v>
      </c>
      <c r="D17" s="97">
        <v>0.35</v>
      </c>
      <c r="E17" s="98">
        <f t="shared" si="0"/>
        <v>0</v>
      </c>
      <c r="F17" s="93">
        <f>E8-(C23+C24+C25)</f>
        <v>0</v>
      </c>
      <c r="G17" s="102">
        <f>C9-(E23+E24+E25)</f>
        <v>0</v>
      </c>
      <c r="H17" s="101"/>
      <c r="I17" s="95"/>
      <c r="J17" s="95"/>
      <c r="K17" s="95"/>
      <c r="L17" s="95"/>
    </row>
    <row r="18" spans="1:12" ht="18.75" customHeight="1" hidden="1">
      <c r="A18" s="96">
        <v>0</v>
      </c>
      <c r="B18" s="96">
        <v>0</v>
      </c>
      <c r="C18" s="96">
        <v>0</v>
      </c>
      <c r="D18" s="97">
        <v>0.4</v>
      </c>
      <c r="E18" s="98">
        <f t="shared" si="0"/>
        <v>0</v>
      </c>
      <c r="F18" s="93">
        <f>B15-B14</f>
        <v>1320000000</v>
      </c>
      <c r="G18" s="103"/>
      <c r="H18" s="101"/>
      <c r="I18" s="95"/>
      <c r="J18" s="95"/>
      <c r="K18" s="95"/>
      <c r="L18" s="95"/>
    </row>
    <row r="19" spans="1:12" ht="18.75" customHeight="1" hidden="1">
      <c r="A19" s="96">
        <v>0</v>
      </c>
      <c r="B19" s="96">
        <v>0</v>
      </c>
      <c r="C19" s="96">
        <v>0</v>
      </c>
      <c r="D19" s="97">
        <v>0.45</v>
      </c>
      <c r="E19" s="96">
        <f t="shared" si="0"/>
        <v>0</v>
      </c>
      <c r="G19" s="95"/>
      <c r="H19" s="101"/>
      <c r="I19" s="95"/>
      <c r="J19" s="95"/>
      <c r="K19" s="95"/>
      <c r="L19" s="95"/>
    </row>
    <row r="20" spans="1:12" ht="18.75" customHeight="1" hidden="1">
      <c r="A20" s="96">
        <v>0</v>
      </c>
      <c r="B20" s="96">
        <v>0</v>
      </c>
      <c r="C20" s="96">
        <v>0</v>
      </c>
      <c r="D20" s="97">
        <v>0.5</v>
      </c>
      <c r="E20" s="96">
        <f t="shared" si="0"/>
        <v>0</v>
      </c>
      <c r="F20" s="93">
        <f>E8-(C23+C24+C25+C26)</f>
        <v>0</v>
      </c>
      <c r="G20" s="102">
        <f>C9-(E23+E24+E25+E26)</f>
        <v>0</v>
      </c>
      <c r="H20" s="101"/>
      <c r="I20" s="95"/>
      <c r="J20" s="95"/>
      <c r="K20" s="95"/>
      <c r="L20" s="95"/>
    </row>
    <row r="21" spans="1:12" ht="18.75" customHeight="1" hidden="1">
      <c r="A21" s="96">
        <v>0</v>
      </c>
      <c r="B21" s="96">
        <v>0</v>
      </c>
      <c r="C21" s="96">
        <v>0</v>
      </c>
      <c r="D21" s="97">
        <v>0.55</v>
      </c>
      <c r="E21" s="96">
        <f t="shared" si="0"/>
        <v>0</v>
      </c>
      <c r="F21" s="93">
        <f>B16-B15</f>
        <v>95919999999</v>
      </c>
      <c r="G21" s="103"/>
      <c r="H21" s="101"/>
      <c r="I21" s="95"/>
      <c r="J21" s="95"/>
      <c r="K21" s="95"/>
      <c r="L21" s="95"/>
    </row>
    <row r="22" spans="1:12" ht="18.75" customHeight="1" hidden="1">
      <c r="A22" s="91"/>
      <c r="B22" s="91" t="s">
        <v>43</v>
      </c>
      <c r="C22" s="105" t="s">
        <v>42</v>
      </c>
      <c r="D22" s="92"/>
      <c r="E22" s="106" t="s">
        <v>41</v>
      </c>
      <c r="G22" s="95"/>
      <c r="H22" s="101"/>
      <c r="I22" s="95"/>
      <c r="J22" s="95"/>
      <c r="K22" s="95"/>
      <c r="L22" s="95"/>
    </row>
    <row r="23" spans="1:12" ht="18.75" customHeight="1" hidden="1">
      <c r="A23" s="107">
        <v>1</v>
      </c>
      <c r="B23" s="108">
        <v>0</v>
      </c>
      <c r="C23" s="107">
        <f>IF(F8&lt;=F9,F8,F9)</f>
        <v>1200000000</v>
      </c>
      <c r="D23" s="109">
        <f>B12-C23</f>
        <v>0</v>
      </c>
      <c r="E23" s="107">
        <f>IF(C23=B12,0,D23)+IF(C9&gt;D23,0,C9)+IF(C9&lt;=D23,C9-(D23+C9),0)</f>
        <v>0</v>
      </c>
      <c r="F23" s="110">
        <f>E8-(C23+C24+C25+C26+C27)</f>
        <v>0</v>
      </c>
      <c r="G23" s="102">
        <f>C9-(E23+E24+E25+E26+E27)</f>
        <v>0</v>
      </c>
      <c r="H23" s="130" t="s">
        <v>113</v>
      </c>
      <c r="I23" s="95"/>
      <c r="J23" s="95"/>
      <c r="K23" s="95"/>
      <c r="L23" s="95"/>
    </row>
    <row r="24" spans="1:12" ht="18.75" customHeight="1" hidden="1">
      <c r="A24" s="107">
        <v>2</v>
      </c>
      <c r="B24" s="108">
        <f aca="true" t="shared" si="1" ref="B24:B32">C13</f>
        <v>480000000</v>
      </c>
      <c r="C24" s="107">
        <f>IF(F11&lt;=F12,F11,F12)</f>
        <v>480000000</v>
      </c>
      <c r="D24" s="112">
        <f>B24-C24</f>
        <v>0</v>
      </c>
      <c r="E24" s="107">
        <f>IF(G11&gt;=D24,D24,G11)</f>
        <v>0</v>
      </c>
      <c r="F24" s="110">
        <f>B17-B16</f>
        <v>-99999999999</v>
      </c>
      <c r="G24" s="103"/>
      <c r="H24" s="111"/>
      <c r="I24" s="95"/>
      <c r="J24" s="95"/>
      <c r="K24" s="95"/>
      <c r="L24" s="95"/>
    </row>
    <row r="25" spans="1:12" ht="18.75" customHeight="1" hidden="1">
      <c r="A25" s="107">
        <v>3</v>
      </c>
      <c r="B25" s="108">
        <f t="shared" si="1"/>
        <v>1080000000</v>
      </c>
      <c r="C25" s="107">
        <f>IF(F14&lt;=F15,F14,F15)</f>
        <v>674838709.6774192</v>
      </c>
      <c r="D25" s="112">
        <f aca="true" t="shared" si="2" ref="D25:D32">B25-C25</f>
        <v>405161290.3225808</v>
      </c>
      <c r="E25" s="107">
        <f>IF(G14&gt;=D25,D25,G14)</f>
        <v>300000000.1</v>
      </c>
      <c r="G25" s="95"/>
      <c r="H25" s="95"/>
      <c r="I25" s="95"/>
      <c r="J25" s="95"/>
      <c r="K25" s="95"/>
      <c r="L25" s="95"/>
    </row>
    <row r="26" spans="1:12" ht="18.75" customHeight="1" hidden="1">
      <c r="A26" s="107">
        <v>4</v>
      </c>
      <c r="B26" s="108">
        <f t="shared" si="1"/>
        <v>1320000000</v>
      </c>
      <c r="C26" s="107">
        <f>IF(F17&lt;=F18,F17,F18)</f>
        <v>0</v>
      </c>
      <c r="D26" s="112">
        <f t="shared" si="2"/>
        <v>1320000000</v>
      </c>
      <c r="E26" s="107">
        <f>IF(G17&gt;=D26,D26,G17)</f>
        <v>0</v>
      </c>
      <c r="F26" s="110">
        <f>E8-(C23+C24+C25+C26+C27+C28)</f>
        <v>0</v>
      </c>
      <c r="G26" s="102">
        <f>C9-(E23+E24+E25+E26+E27+E28)</f>
        <v>0</v>
      </c>
      <c r="H26" s="95"/>
      <c r="I26" s="95"/>
      <c r="J26" s="95"/>
      <c r="K26" s="95"/>
      <c r="L26" s="95"/>
    </row>
    <row r="27" spans="1:12" ht="18.75" customHeight="1" hidden="1">
      <c r="A27" s="107">
        <v>5</v>
      </c>
      <c r="B27" s="108">
        <f t="shared" si="1"/>
        <v>95919999999</v>
      </c>
      <c r="C27" s="107">
        <f>IF(F20&lt;=F21,F20,F21)</f>
        <v>0</v>
      </c>
      <c r="D27" s="112">
        <f t="shared" si="2"/>
        <v>95919999999</v>
      </c>
      <c r="E27" s="107">
        <f>IF(G20&gt;=D27,D27,G20)</f>
        <v>0</v>
      </c>
      <c r="F27" s="110">
        <f>B18-B17</f>
        <v>0</v>
      </c>
      <c r="G27" s="103"/>
      <c r="H27" s="95"/>
      <c r="I27" s="95"/>
      <c r="J27" s="95"/>
      <c r="K27" s="95"/>
      <c r="L27" s="95"/>
    </row>
    <row r="28" spans="1:12" ht="18.75" customHeight="1" hidden="1">
      <c r="A28" s="107">
        <v>6</v>
      </c>
      <c r="B28" s="108">
        <f t="shared" si="1"/>
        <v>0</v>
      </c>
      <c r="C28" s="107">
        <f>IF(H23&lt;=H24,H23,H24)</f>
        <v>0</v>
      </c>
      <c r="D28" s="112">
        <f t="shared" si="2"/>
        <v>0</v>
      </c>
      <c r="E28" s="107">
        <f>IF(G23&gt;=D28,D28,G23)</f>
        <v>0</v>
      </c>
      <c r="G28" s="95"/>
      <c r="H28" s="95"/>
      <c r="I28" s="95"/>
      <c r="J28" s="95"/>
      <c r="K28" s="95"/>
      <c r="L28" s="95"/>
    </row>
    <row r="29" spans="1:12" ht="18.75" customHeight="1" hidden="1">
      <c r="A29" s="107">
        <v>7</v>
      </c>
      <c r="B29" s="108">
        <f t="shared" si="1"/>
        <v>0</v>
      </c>
      <c r="C29" s="107">
        <f>IF(F26&lt;=F27,F26,F27)</f>
        <v>0</v>
      </c>
      <c r="D29" s="112">
        <f t="shared" si="2"/>
        <v>0</v>
      </c>
      <c r="E29" s="107">
        <f>IF(G26&gt;=D29,D29,G26)</f>
        <v>0</v>
      </c>
      <c r="F29" s="110">
        <f>E8-(C23+C24+C25+C26+C27+C28+C29)</f>
        <v>0</v>
      </c>
      <c r="G29" s="102">
        <f>C9-(E23+E24+E25+E26+E27+E28+E29)</f>
        <v>0</v>
      </c>
      <c r="H29" s="95"/>
      <c r="I29" s="95"/>
      <c r="J29" s="95"/>
      <c r="K29" s="95"/>
      <c r="L29" s="95"/>
    </row>
    <row r="30" spans="1:12" ht="18.75" customHeight="1" hidden="1">
      <c r="A30" s="107">
        <v>8</v>
      </c>
      <c r="B30" s="108">
        <f t="shared" si="1"/>
        <v>0</v>
      </c>
      <c r="C30" s="107">
        <f>IF(F29&lt;=F30,F29,F30)</f>
        <v>0</v>
      </c>
      <c r="D30" s="112">
        <f t="shared" si="2"/>
        <v>0</v>
      </c>
      <c r="E30" s="107">
        <f>IF(G29&gt;=D30,D30,G29)</f>
        <v>0</v>
      </c>
      <c r="F30" s="110">
        <f>B19-B18</f>
        <v>0</v>
      </c>
      <c r="G30" s="103"/>
      <c r="H30" s="95"/>
      <c r="I30" s="95"/>
      <c r="J30" s="95"/>
      <c r="K30" s="95"/>
      <c r="L30" s="95"/>
    </row>
    <row r="31" spans="1:12" ht="18.75" customHeight="1" hidden="1">
      <c r="A31" s="107">
        <v>9</v>
      </c>
      <c r="B31" s="108">
        <f t="shared" si="1"/>
        <v>0</v>
      </c>
      <c r="C31" s="107">
        <f>IF(F32&lt;=F33,F32,F33)</f>
        <v>0</v>
      </c>
      <c r="D31" s="112">
        <f t="shared" si="2"/>
        <v>0</v>
      </c>
      <c r="E31" s="107">
        <f>IF(G32&gt;=D31,D31,G32)</f>
        <v>0</v>
      </c>
      <c r="G31" s="95"/>
      <c r="H31" s="95"/>
      <c r="I31" s="95"/>
      <c r="J31" s="95"/>
      <c r="K31" s="95"/>
      <c r="L31" s="95"/>
    </row>
    <row r="32" spans="1:12" ht="18.75" customHeight="1" hidden="1">
      <c r="A32" s="107">
        <v>10</v>
      </c>
      <c r="B32" s="108">
        <f t="shared" si="1"/>
        <v>0</v>
      </c>
      <c r="C32" s="107">
        <f>F35</f>
        <v>0</v>
      </c>
      <c r="D32" s="112">
        <f t="shared" si="2"/>
        <v>0</v>
      </c>
      <c r="E32" s="107">
        <f>G35</f>
        <v>0</v>
      </c>
      <c r="F32" s="110">
        <f>E8-(C23+C24+C25+C26+C27+C28+C29+C30)</f>
        <v>0</v>
      </c>
      <c r="G32" s="102">
        <f>C9-(E23+E24+E25+E26+E27+E28+E29+E30)</f>
        <v>0</v>
      </c>
      <c r="H32" s="95"/>
      <c r="I32" s="95"/>
      <c r="J32" s="95"/>
      <c r="K32" s="95"/>
      <c r="L32" s="95"/>
    </row>
    <row r="33" spans="2:12" ht="18.75" customHeight="1" hidden="1">
      <c r="B33" s="108" t="s">
        <v>114</v>
      </c>
      <c r="C33" s="108">
        <f>SUM(C23:C32)</f>
        <v>2354838709.677419</v>
      </c>
      <c r="D33" s="113"/>
      <c r="E33" s="108">
        <f>SUM(E23:E32)</f>
        <v>300000000.1</v>
      </c>
      <c r="F33" s="110">
        <f>B20-B19</f>
        <v>0</v>
      </c>
      <c r="G33" s="103"/>
      <c r="H33" s="95"/>
      <c r="I33" s="95"/>
      <c r="J33" s="95"/>
      <c r="K33" s="95"/>
      <c r="L33" s="95"/>
    </row>
    <row r="34" spans="4:12" ht="18.75" customHeight="1" hidden="1">
      <c r="D34" s="113"/>
      <c r="G34" s="95"/>
      <c r="H34" s="95"/>
      <c r="I34" s="95"/>
      <c r="J34" s="95"/>
      <c r="K34" s="95"/>
      <c r="L34" s="95"/>
    </row>
    <row r="35" spans="4:12" ht="18.75" customHeight="1" hidden="1">
      <c r="D35" s="113">
        <f>C33+E33</f>
        <v>2654838709.777419</v>
      </c>
      <c r="F35" s="93">
        <f>E8-(C23+C24+C25+C26+C27+C28+C29+C30+C31)</f>
        <v>0</v>
      </c>
      <c r="G35" s="102">
        <f>C9-(E23+E24+E25+E26+E27+E28+E29+E30+E31)</f>
        <v>0</v>
      </c>
      <c r="H35" s="95"/>
      <c r="I35" s="95"/>
      <c r="J35" s="95"/>
      <c r="K35" s="95"/>
      <c r="L35" s="95"/>
    </row>
    <row r="36" spans="4:12" ht="18.75" customHeight="1" hidden="1">
      <c r="D36" s="113"/>
      <c r="G36" s="95"/>
      <c r="H36" s="95"/>
      <c r="I36" s="95"/>
      <c r="J36" s="95"/>
      <c r="K36" s="95"/>
      <c r="L36" s="95"/>
    </row>
    <row r="37" spans="4:12" ht="18.75" customHeight="1" hidden="1">
      <c r="D37" s="113"/>
      <c r="G37" s="95"/>
      <c r="H37" s="95"/>
      <c r="I37" s="95"/>
      <c r="J37" s="95"/>
      <c r="K37" s="95"/>
      <c r="L37" s="95"/>
    </row>
    <row r="38" spans="4:12" ht="2.25" customHeight="1">
      <c r="D38" s="113"/>
      <c r="G38" s="95"/>
      <c r="H38" s="95"/>
      <c r="I38" s="95"/>
      <c r="J38" s="95"/>
      <c r="K38" s="95"/>
      <c r="L38" s="95"/>
    </row>
    <row r="39" spans="1:11" ht="18.75" customHeight="1">
      <c r="A39" s="233" t="s">
        <v>82</v>
      </c>
      <c r="B39" s="233"/>
      <c r="C39" s="233"/>
      <c r="D39" s="233"/>
      <c r="E39" s="233"/>
      <c r="F39" s="233"/>
      <c r="G39" s="95"/>
      <c r="H39" s="95"/>
      <c r="I39" s="95"/>
      <c r="J39" s="95"/>
      <c r="K39" s="95"/>
    </row>
    <row r="40" spans="1:11" ht="58.5" customHeight="1">
      <c r="A40" s="114" t="s">
        <v>49</v>
      </c>
      <c r="B40" s="114" t="s">
        <v>44</v>
      </c>
      <c r="C40" s="114" t="s">
        <v>45</v>
      </c>
      <c r="D40" s="114" t="s">
        <v>83</v>
      </c>
      <c r="E40" s="114" t="s">
        <v>46</v>
      </c>
      <c r="F40" s="114" t="s">
        <v>47</v>
      </c>
      <c r="G40" s="95"/>
      <c r="H40" s="95"/>
      <c r="I40" s="95"/>
      <c r="J40" s="95"/>
      <c r="K40" s="95"/>
    </row>
    <row r="41" spans="1:6" ht="17.25" customHeight="1">
      <c r="A41" s="114">
        <v>1</v>
      </c>
      <c r="B41" s="114">
        <f>C23</f>
        <v>1200000000</v>
      </c>
      <c r="C41" s="114">
        <f>E23</f>
        <v>0</v>
      </c>
      <c r="D41" s="115">
        <v>0</v>
      </c>
      <c r="E41" s="116">
        <v>0</v>
      </c>
      <c r="F41" s="116">
        <v>0</v>
      </c>
    </row>
    <row r="42" spans="1:6" ht="17.25" customHeight="1">
      <c r="A42" s="114">
        <v>2</v>
      </c>
      <c r="B42" s="114">
        <f aca="true" t="shared" si="3" ref="B42:B50">C24</f>
        <v>480000000</v>
      </c>
      <c r="C42" s="114">
        <f aca="true" t="shared" si="4" ref="C42:C50">E24</f>
        <v>0</v>
      </c>
      <c r="D42" s="115">
        <v>0.1</v>
      </c>
      <c r="E42" s="116">
        <f aca="true" t="shared" si="5" ref="E42:E50">B42*D42</f>
        <v>48000000</v>
      </c>
      <c r="F42" s="116">
        <f aca="true" t="shared" si="6" ref="F42:F50">C42*D42</f>
        <v>0</v>
      </c>
    </row>
    <row r="43" spans="1:6" ht="17.25" customHeight="1">
      <c r="A43" s="114">
        <v>3</v>
      </c>
      <c r="B43" s="114">
        <f t="shared" si="3"/>
        <v>674838709.6774192</v>
      </c>
      <c r="C43" s="114">
        <f t="shared" si="4"/>
        <v>300000000.1</v>
      </c>
      <c r="D43" s="115">
        <v>0.15</v>
      </c>
      <c r="E43" s="116">
        <f t="shared" si="5"/>
        <v>101225806.45161287</v>
      </c>
      <c r="F43" s="116">
        <f t="shared" si="6"/>
        <v>45000000.015</v>
      </c>
    </row>
    <row r="44" spans="1:6" ht="17.25" customHeight="1">
      <c r="A44" s="114">
        <v>4</v>
      </c>
      <c r="B44" s="114">
        <f t="shared" si="3"/>
        <v>0</v>
      </c>
      <c r="C44" s="114">
        <f t="shared" si="4"/>
        <v>0</v>
      </c>
      <c r="D44" s="115">
        <v>0.2</v>
      </c>
      <c r="E44" s="116">
        <f t="shared" si="5"/>
        <v>0</v>
      </c>
      <c r="F44" s="116">
        <f t="shared" si="6"/>
        <v>0</v>
      </c>
    </row>
    <row r="45" spans="1:6" ht="17.25" customHeight="1">
      <c r="A45" s="114">
        <v>5</v>
      </c>
      <c r="B45" s="114">
        <f t="shared" si="3"/>
        <v>0</v>
      </c>
      <c r="C45" s="114">
        <f t="shared" si="4"/>
        <v>0</v>
      </c>
      <c r="D45" s="115">
        <v>0.3</v>
      </c>
      <c r="E45" s="116">
        <f t="shared" si="5"/>
        <v>0</v>
      </c>
      <c r="F45" s="116">
        <f t="shared" si="6"/>
        <v>0</v>
      </c>
    </row>
    <row r="46" spans="1:6" ht="17.25" customHeight="1">
      <c r="A46" s="117">
        <v>6</v>
      </c>
      <c r="B46" s="114">
        <f t="shared" si="3"/>
        <v>0</v>
      </c>
      <c r="C46" s="114">
        <f t="shared" si="4"/>
        <v>0</v>
      </c>
      <c r="D46" s="115">
        <v>0</v>
      </c>
      <c r="E46" s="116">
        <f t="shared" si="5"/>
        <v>0</v>
      </c>
      <c r="F46" s="116">
        <f t="shared" si="6"/>
        <v>0</v>
      </c>
    </row>
    <row r="47" spans="1:6" ht="17.25" customHeight="1">
      <c r="A47" s="117">
        <v>7</v>
      </c>
      <c r="B47" s="114">
        <f t="shared" si="3"/>
        <v>0</v>
      </c>
      <c r="C47" s="114">
        <f t="shared" si="4"/>
        <v>0</v>
      </c>
      <c r="D47" s="115">
        <v>0</v>
      </c>
      <c r="E47" s="116">
        <f t="shared" si="5"/>
        <v>0</v>
      </c>
      <c r="F47" s="116">
        <f t="shared" si="6"/>
        <v>0</v>
      </c>
    </row>
    <row r="48" spans="1:6" ht="17.25" customHeight="1">
      <c r="A48" s="117">
        <v>8</v>
      </c>
      <c r="B48" s="114">
        <f t="shared" si="3"/>
        <v>0</v>
      </c>
      <c r="C48" s="114">
        <f t="shared" si="4"/>
        <v>0</v>
      </c>
      <c r="D48" s="115">
        <v>0</v>
      </c>
      <c r="E48" s="116">
        <f t="shared" si="5"/>
        <v>0</v>
      </c>
      <c r="F48" s="116">
        <f t="shared" si="6"/>
        <v>0</v>
      </c>
    </row>
    <row r="49" spans="1:6" ht="17.25" customHeight="1">
      <c r="A49" s="117">
        <v>9</v>
      </c>
      <c r="B49" s="114">
        <f t="shared" si="3"/>
        <v>0</v>
      </c>
      <c r="C49" s="114">
        <f t="shared" si="4"/>
        <v>0</v>
      </c>
      <c r="D49" s="115">
        <v>0</v>
      </c>
      <c r="E49" s="116">
        <f t="shared" si="5"/>
        <v>0</v>
      </c>
      <c r="F49" s="116">
        <f t="shared" si="6"/>
        <v>0</v>
      </c>
    </row>
    <row r="50" spans="1:6" ht="17.25" customHeight="1">
      <c r="A50" s="117">
        <v>10</v>
      </c>
      <c r="B50" s="114">
        <f t="shared" si="3"/>
        <v>0</v>
      </c>
      <c r="C50" s="114">
        <f t="shared" si="4"/>
        <v>0</v>
      </c>
      <c r="D50" s="115">
        <v>0</v>
      </c>
      <c r="E50" s="116">
        <f t="shared" si="5"/>
        <v>0</v>
      </c>
      <c r="F50" s="116">
        <f t="shared" si="6"/>
        <v>0</v>
      </c>
    </row>
    <row r="51" spans="1:6" ht="40.5">
      <c r="A51" s="155" t="s">
        <v>48</v>
      </c>
      <c r="B51" s="169">
        <f>SUM(B41:B50)</f>
        <v>2354838709.677419</v>
      </c>
      <c r="C51" s="169">
        <f>SUM(C41:C50)</f>
        <v>300000000.1</v>
      </c>
      <c r="D51" s="156" t="s">
        <v>48</v>
      </c>
      <c r="E51" s="157">
        <f>SUM(E41:E50)</f>
        <v>149225806.4516129</v>
      </c>
      <c r="F51" s="157">
        <f>SUM(F41:F50)</f>
        <v>45000000.015</v>
      </c>
    </row>
    <row r="52" spans="4:6" ht="9" customHeight="1">
      <c r="D52" s="119"/>
      <c r="E52" s="120"/>
      <c r="F52" s="120"/>
    </row>
    <row r="53" spans="4:6" ht="33.75" customHeight="1">
      <c r="D53" s="122" t="s">
        <v>51</v>
      </c>
      <c r="E53" s="116">
        <f>(E51/C6)*C10</f>
        <v>38021917.80821917</v>
      </c>
      <c r="F53" s="116">
        <f>F51</f>
        <v>45000000.015</v>
      </c>
    </row>
    <row r="54" spans="4:5" ht="37.5" customHeight="1">
      <c r="D54" s="122" t="s">
        <v>53</v>
      </c>
      <c r="E54" s="116">
        <f>E53+F53</f>
        <v>83021917.82321918</v>
      </c>
    </row>
    <row r="55" spans="4:5" ht="39.75" customHeight="1">
      <c r="D55" s="122" t="s">
        <v>52</v>
      </c>
      <c r="E55" s="177">
        <f>C4*-1</f>
        <v>-40000000</v>
      </c>
    </row>
    <row r="56" spans="4:5" ht="47.25" customHeight="1">
      <c r="D56" s="122" t="s">
        <v>103</v>
      </c>
      <c r="E56" s="178">
        <f>E54+E55</f>
        <v>43021917.82321918</v>
      </c>
    </row>
    <row r="57" spans="4:5" ht="53.25" customHeight="1">
      <c r="D57" s="122" t="s">
        <v>115</v>
      </c>
      <c r="E57" s="178">
        <f>E56*50%</f>
        <v>21510958.91160959</v>
      </c>
    </row>
    <row r="58" spans="1:3" ht="10.5" customHeight="1">
      <c r="A58" s="234"/>
      <c r="B58" s="234"/>
      <c r="C58" s="234"/>
    </row>
    <row r="59" spans="1:5" ht="18" customHeight="1">
      <c r="A59" s="223" t="s">
        <v>81</v>
      </c>
      <c r="B59" s="224"/>
      <c r="C59" s="224"/>
      <c r="D59" s="224"/>
      <c r="E59" s="225"/>
    </row>
    <row r="60" spans="1:5" ht="18" customHeight="1">
      <c r="A60" s="114" t="s">
        <v>57</v>
      </c>
      <c r="B60" s="124"/>
      <c r="C60" s="125" t="s">
        <v>55</v>
      </c>
      <c r="D60" s="124" t="s">
        <v>56</v>
      </c>
      <c r="E60" s="124" t="s">
        <v>54</v>
      </c>
    </row>
    <row r="61" spans="1:6" ht="18" customHeight="1">
      <c r="A61" s="114">
        <v>1</v>
      </c>
      <c r="B61" s="126" t="s">
        <v>13</v>
      </c>
      <c r="C61" s="127">
        <v>100000000</v>
      </c>
      <c r="D61" s="128">
        <f>C61*12</f>
        <v>1200000000</v>
      </c>
      <c r="E61" s="126" t="s">
        <v>15</v>
      </c>
      <c r="F61" s="89"/>
    </row>
    <row r="62" spans="1:5" ht="18" customHeight="1">
      <c r="A62" s="114">
        <v>2</v>
      </c>
      <c r="B62" s="126" t="s">
        <v>23</v>
      </c>
      <c r="C62" s="127">
        <v>140000000</v>
      </c>
      <c r="D62" s="128">
        <f>C62*12</f>
        <v>1680000000</v>
      </c>
      <c r="E62" s="129">
        <v>0.1</v>
      </c>
    </row>
    <row r="63" spans="1:5" ht="18" customHeight="1">
      <c r="A63" s="114">
        <v>3</v>
      </c>
      <c r="B63" s="126" t="s">
        <v>24</v>
      </c>
      <c r="C63" s="127">
        <v>230000000</v>
      </c>
      <c r="D63" s="128">
        <f>C63*12</f>
        <v>2760000000</v>
      </c>
      <c r="E63" s="129">
        <v>0.15</v>
      </c>
    </row>
    <row r="64" spans="1:5" ht="18" customHeight="1">
      <c r="A64" s="114">
        <v>4</v>
      </c>
      <c r="B64" s="126" t="s">
        <v>25</v>
      </c>
      <c r="C64" s="127">
        <v>340000000</v>
      </c>
      <c r="D64" s="128">
        <f>C64*12</f>
        <v>4080000000</v>
      </c>
      <c r="E64" s="129">
        <v>0.2</v>
      </c>
    </row>
    <row r="65" spans="1:5" ht="18" customHeight="1">
      <c r="A65" s="114">
        <v>5</v>
      </c>
      <c r="B65" s="126" t="s">
        <v>63</v>
      </c>
      <c r="C65" s="127">
        <v>99999999999</v>
      </c>
      <c r="D65" s="128">
        <f>C65*12</f>
        <v>1199999999988</v>
      </c>
      <c r="E65" s="129">
        <v>0.3</v>
      </c>
    </row>
    <row r="66" spans="1:3" ht="18" customHeight="1">
      <c r="A66" s="235" t="s">
        <v>117</v>
      </c>
      <c r="B66" s="236"/>
      <c r="C66" s="237"/>
    </row>
    <row r="67" spans="1:3" ht="18" customHeight="1">
      <c r="A67" s="238"/>
      <c r="B67" s="239"/>
      <c r="C67" s="240"/>
    </row>
    <row r="69" ht="47.25" customHeight="1"/>
  </sheetData>
  <sheetProtection password="80FE" sheet="1" selectLockedCells="1"/>
  <mergeCells count="5">
    <mergeCell ref="A1:F1"/>
    <mergeCell ref="A39:F39"/>
    <mergeCell ref="A58:C58"/>
    <mergeCell ref="A59:E59"/>
    <mergeCell ref="A66:C67"/>
  </mergeCells>
  <printOptions horizontalCentered="1" verticalCentered="1"/>
  <pageMargins left="0" right="0" top="0.1968503937007874" bottom="0.1968503937007874" header="0" footer="0"/>
  <pageSetup blackAndWhite="1"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3"/>
  <sheetViews>
    <sheetView showGridLines="0" rightToLeft="1" zoomScalePageLayoutView="0" workbookViewId="0" topLeftCell="A1">
      <selection activeCell="C6" sqref="C6"/>
    </sheetView>
  </sheetViews>
  <sheetFormatPr defaultColWidth="9.140625" defaultRowHeight="15"/>
  <cols>
    <col min="2" max="2" width="14.421875" style="0" customWidth="1"/>
    <col min="3" max="3" width="52.421875" style="0" customWidth="1"/>
    <col min="4" max="4" width="24.00390625" style="0" customWidth="1"/>
    <col min="5" max="5" width="16.7109375" style="0" customWidth="1"/>
    <col min="6" max="6" width="21.28125" style="0" customWidth="1"/>
  </cols>
  <sheetData>
    <row r="1" spans="2:6" ht="34.5" customHeight="1">
      <c r="B1" s="159" t="s">
        <v>122</v>
      </c>
      <c r="C1" s="241" t="s">
        <v>147</v>
      </c>
      <c r="D1" s="242"/>
      <c r="E1" s="242"/>
      <c r="F1" s="243"/>
    </row>
    <row r="2" spans="2:6" ht="18.75" customHeight="1">
      <c r="B2" s="159" t="s">
        <v>123</v>
      </c>
      <c r="C2" s="159" t="s">
        <v>128</v>
      </c>
      <c r="D2" s="160">
        <v>1440000000</v>
      </c>
      <c r="E2" s="159" t="s">
        <v>14</v>
      </c>
      <c r="F2" s="159" t="s">
        <v>15</v>
      </c>
    </row>
    <row r="3" spans="2:6" ht="18.75" customHeight="1">
      <c r="B3" s="159" t="s">
        <v>124</v>
      </c>
      <c r="C3" s="159" t="s">
        <v>119</v>
      </c>
      <c r="D3" s="160">
        <v>1980000000</v>
      </c>
      <c r="E3" s="159" t="s">
        <v>14</v>
      </c>
      <c r="F3" s="158">
        <v>0.1</v>
      </c>
    </row>
    <row r="4" spans="2:6" ht="18.75" customHeight="1">
      <c r="B4" s="159" t="s">
        <v>125</v>
      </c>
      <c r="C4" s="159" t="s">
        <v>118</v>
      </c>
      <c r="D4" s="160">
        <v>3240000000</v>
      </c>
      <c r="E4" s="159" t="s">
        <v>14</v>
      </c>
      <c r="F4" s="158">
        <v>0.15</v>
      </c>
    </row>
    <row r="5" spans="2:6" ht="18.75" customHeight="1">
      <c r="B5" s="159" t="s">
        <v>126</v>
      </c>
      <c r="C5" s="159" t="s">
        <v>120</v>
      </c>
      <c r="D5" s="160">
        <v>4800000000</v>
      </c>
      <c r="E5" s="159" t="s">
        <v>14</v>
      </c>
      <c r="F5" s="158">
        <v>0.2</v>
      </c>
    </row>
    <row r="6" spans="2:6" ht="26.25" customHeight="1">
      <c r="B6" s="159" t="s">
        <v>127</v>
      </c>
      <c r="C6" s="159" t="s">
        <v>121</v>
      </c>
      <c r="D6" s="160">
        <v>9999999999999</v>
      </c>
      <c r="E6" s="159" t="s">
        <v>14</v>
      </c>
      <c r="F6" s="158">
        <v>0.3</v>
      </c>
    </row>
    <row r="7" spans="2:6" ht="18.75" customHeight="1">
      <c r="B7" s="134"/>
      <c r="C7" s="159"/>
      <c r="D7" s="160"/>
      <c r="E7" s="159"/>
      <c r="F7" s="158"/>
    </row>
    <row r="8" spans="2:6" ht="18.75" customHeight="1">
      <c r="B8" s="134"/>
      <c r="C8" s="133"/>
      <c r="D8" s="134"/>
      <c r="E8" s="134"/>
      <c r="F8" s="135"/>
    </row>
    <row r="9" spans="2:6" ht="18.75" customHeight="1">
      <c r="B9" s="134"/>
      <c r="C9" s="133"/>
      <c r="D9" s="134"/>
      <c r="E9" s="134"/>
      <c r="F9" s="134"/>
    </row>
    <row r="10" spans="2:6" ht="18.75" customHeight="1">
      <c r="B10" s="134"/>
      <c r="C10" s="133"/>
      <c r="D10" s="134"/>
      <c r="E10" s="134"/>
      <c r="F10" s="134"/>
    </row>
    <row r="13" ht="14.25">
      <c r="D13" s="161"/>
    </row>
  </sheetData>
  <sheetProtection password="80FE" sheet="1"/>
  <mergeCells count="1">
    <mergeCell ref="C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99"/>
    <pageSetUpPr fitToPage="1"/>
  </sheetPr>
  <dimension ref="A1:M32"/>
  <sheetViews>
    <sheetView rightToLeft="1" zoomScale="80" zoomScaleNormal="80" zoomScalePageLayoutView="0" workbookViewId="0" topLeftCell="A1">
      <selection activeCell="F11" sqref="F11"/>
    </sheetView>
  </sheetViews>
  <sheetFormatPr defaultColWidth="9.00390625" defaultRowHeight="15"/>
  <cols>
    <col min="1" max="1" width="25.28125" style="7" customWidth="1"/>
    <col min="2" max="2" width="16.7109375" style="7" customWidth="1"/>
    <col min="3" max="3" width="14.7109375" style="7" customWidth="1"/>
    <col min="4" max="4" width="6.28125" style="7" customWidth="1"/>
    <col min="5" max="5" width="13.140625" style="7" customWidth="1"/>
    <col min="6" max="6" width="14.140625" style="7" customWidth="1"/>
    <col min="7" max="7" width="3.28125" style="7" customWidth="1"/>
    <col min="8" max="8" width="16.00390625" style="7" customWidth="1"/>
    <col min="9" max="9" width="9.140625" style="7" customWidth="1"/>
    <col min="10" max="10" width="11.00390625" style="7" customWidth="1"/>
    <col min="11" max="11" width="18.7109375" style="7" customWidth="1"/>
    <col min="12" max="12" width="14.7109375" style="7" customWidth="1"/>
    <col min="13" max="13" width="3.00390625" style="7" customWidth="1"/>
    <col min="14" max="19" width="9.7109375" style="7" customWidth="1"/>
    <col min="20" max="16384" width="9.00390625" style="7" customWidth="1"/>
  </cols>
  <sheetData>
    <row r="1" spans="1:12" ht="39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5" customHeight="1">
      <c r="A2" s="244" t="s">
        <v>156</v>
      </c>
      <c r="B2" s="245"/>
      <c r="C2" s="9" t="s">
        <v>22</v>
      </c>
      <c r="G2" s="249" t="s">
        <v>16</v>
      </c>
      <c r="H2" s="250"/>
      <c r="I2" s="250"/>
      <c r="J2" s="250"/>
      <c r="K2" s="250"/>
      <c r="L2" s="251"/>
    </row>
    <row r="3" spans="1:12" ht="15" customHeight="1">
      <c r="A3" s="259" t="s">
        <v>157</v>
      </c>
      <c r="B3" s="260"/>
      <c r="C3" s="10">
        <v>600000000</v>
      </c>
      <c r="D3" s="11"/>
      <c r="E3" s="11"/>
      <c r="F3" s="11"/>
      <c r="G3" s="12">
        <v>1</v>
      </c>
      <c r="H3" s="246" t="s">
        <v>160</v>
      </c>
      <c r="I3" s="247"/>
      <c r="J3" s="248"/>
      <c r="K3" s="12" t="s">
        <v>159</v>
      </c>
      <c r="L3" s="13">
        <f>C3*366/93</f>
        <v>2361290322.580645</v>
      </c>
    </row>
    <row r="4" spans="1:12" ht="15" customHeight="1">
      <c r="A4" s="259" t="s">
        <v>158</v>
      </c>
      <c r="B4" s="260"/>
      <c r="C4" s="10">
        <v>300000000</v>
      </c>
      <c r="D4" s="11"/>
      <c r="E4" s="11"/>
      <c r="F4" s="11"/>
      <c r="G4" s="12">
        <v>2</v>
      </c>
      <c r="H4" s="252" t="s">
        <v>161</v>
      </c>
      <c r="I4" s="253"/>
      <c r="J4" s="253"/>
      <c r="K4" s="254"/>
      <c r="L4" s="14">
        <f>E29</f>
        <v>111193548.44999999</v>
      </c>
    </row>
    <row r="5" spans="1:12" ht="15" customHeight="1">
      <c r="A5" s="259" t="s">
        <v>65</v>
      </c>
      <c r="B5" s="260"/>
      <c r="C5" s="10">
        <v>40000000</v>
      </c>
      <c r="D5" s="11"/>
      <c r="E5" s="11"/>
      <c r="F5" s="11"/>
      <c r="G5" s="12">
        <v>3</v>
      </c>
      <c r="H5" s="252" t="s">
        <v>162</v>
      </c>
      <c r="I5" s="253"/>
      <c r="J5" s="253"/>
      <c r="K5" s="254"/>
      <c r="L5" s="14">
        <f>L4*93/366</f>
        <v>28254098.37663934</v>
      </c>
    </row>
    <row r="6" spans="1:12" ht="15" customHeight="1">
      <c r="A6" s="259" t="s">
        <v>148</v>
      </c>
      <c r="B6" s="260"/>
      <c r="C6" s="9" t="s">
        <v>166</v>
      </c>
      <c r="D6" s="11"/>
      <c r="E6" s="11"/>
      <c r="F6" s="11"/>
      <c r="G6" s="12">
        <v>4</v>
      </c>
      <c r="H6" s="252" t="s">
        <v>29</v>
      </c>
      <c r="I6" s="253"/>
      <c r="J6" s="253"/>
      <c r="K6" s="254"/>
      <c r="L6" s="14">
        <f>F29</f>
        <v>45000000</v>
      </c>
    </row>
    <row r="7" spans="1:12" ht="15" customHeight="1">
      <c r="A7" s="259" t="s">
        <v>17</v>
      </c>
      <c r="B7" s="260"/>
      <c r="C7" s="9" t="s">
        <v>67</v>
      </c>
      <c r="D7" s="11"/>
      <c r="E7" s="11"/>
      <c r="F7" s="11"/>
      <c r="G7" s="12">
        <v>5</v>
      </c>
      <c r="H7" s="252" t="s">
        <v>27</v>
      </c>
      <c r="I7" s="253"/>
      <c r="J7" s="253"/>
      <c r="K7" s="254"/>
      <c r="L7" s="14">
        <f>L5+L6</f>
        <v>73254098.37663934</v>
      </c>
    </row>
    <row r="8" spans="1:12" ht="15.75" customHeight="1">
      <c r="A8" s="11"/>
      <c r="B8" s="11"/>
      <c r="C8" s="11"/>
      <c r="D8" s="11"/>
      <c r="E8" s="11"/>
      <c r="F8" s="11"/>
      <c r="G8" s="12">
        <v>6</v>
      </c>
      <c r="H8" s="252" t="s">
        <v>28</v>
      </c>
      <c r="I8" s="253"/>
      <c r="J8" s="253"/>
      <c r="K8" s="254"/>
      <c r="L8" s="14">
        <f>C5</f>
        <v>40000000</v>
      </c>
    </row>
    <row r="9" spans="1:12" ht="15.75" customHeight="1">
      <c r="A9" s="271" t="s">
        <v>147</v>
      </c>
      <c r="B9" s="272"/>
      <c r="C9" s="272"/>
      <c r="D9" s="273"/>
      <c r="E9" s="15"/>
      <c r="G9" s="16">
        <v>7</v>
      </c>
      <c r="H9" s="255" t="s">
        <v>163</v>
      </c>
      <c r="I9" s="256"/>
      <c r="J9" s="256"/>
      <c r="K9" s="257"/>
      <c r="L9" s="17">
        <f>L7-L8</f>
        <v>33254098.376639336</v>
      </c>
    </row>
    <row r="10" spans="1:5" ht="15.75" customHeight="1">
      <c r="A10" s="18" t="s">
        <v>13</v>
      </c>
      <c r="B10" s="19">
        <v>1440000000</v>
      </c>
      <c r="C10" s="18" t="s">
        <v>14</v>
      </c>
      <c r="D10" s="18" t="s">
        <v>15</v>
      </c>
      <c r="E10" s="20"/>
    </row>
    <row r="11" spans="1:11" ht="15.75" customHeight="1">
      <c r="A11" s="18" t="s">
        <v>23</v>
      </c>
      <c r="B11" s="19">
        <v>1980000000</v>
      </c>
      <c r="C11" s="18" t="s">
        <v>14</v>
      </c>
      <c r="D11" s="21">
        <v>0.1</v>
      </c>
      <c r="E11" s="22"/>
      <c r="H11" s="261"/>
      <c r="I11" s="261"/>
      <c r="J11" s="261"/>
      <c r="K11" s="261"/>
    </row>
    <row r="12" spans="1:5" ht="15.75" customHeight="1">
      <c r="A12" s="18" t="s">
        <v>24</v>
      </c>
      <c r="B12" s="19">
        <v>3240000000</v>
      </c>
      <c r="C12" s="18" t="s">
        <v>14</v>
      </c>
      <c r="D12" s="21">
        <v>0.15</v>
      </c>
      <c r="E12" s="22"/>
    </row>
    <row r="13" spans="1:5" ht="15.75" customHeight="1">
      <c r="A13" s="18" t="s">
        <v>25</v>
      </c>
      <c r="B13" s="19">
        <v>4800000000</v>
      </c>
      <c r="C13" s="18" t="s">
        <v>14</v>
      </c>
      <c r="D13" s="21">
        <v>0.2</v>
      </c>
      <c r="E13" s="22"/>
    </row>
    <row r="14" spans="1:8" ht="15.75" customHeight="1">
      <c r="A14" s="18" t="s">
        <v>66</v>
      </c>
      <c r="B14" s="19">
        <v>9999999999999</v>
      </c>
      <c r="C14" s="18" t="s">
        <v>14</v>
      </c>
      <c r="D14" s="21">
        <v>0.3</v>
      </c>
      <c r="E14" s="22"/>
      <c r="H14" s="42"/>
    </row>
    <row r="15" spans="1:5" ht="15.75" customHeight="1">
      <c r="A15" s="18"/>
      <c r="B15" s="19"/>
      <c r="C15" s="18"/>
      <c r="D15" s="21"/>
      <c r="E15" s="22"/>
    </row>
    <row r="16" spans="1:11" ht="18" customHeight="1">
      <c r="A16" s="264"/>
      <c r="B16" s="267"/>
      <c r="C16" s="267"/>
      <c r="D16" s="270"/>
      <c r="E16" s="22"/>
      <c r="F16" s="42"/>
      <c r="H16" s="62"/>
      <c r="K16" s="42"/>
    </row>
    <row r="17" spans="1:11" ht="18" customHeight="1">
      <c r="A17" s="265"/>
      <c r="B17" s="268"/>
      <c r="C17" s="268"/>
      <c r="D17" s="268"/>
      <c r="E17" s="23"/>
      <c r="F17" s="42"/>
      <c r="H17" s="42"/>
      <c r="K17" s="42"/>
    </row>
    <row r="18" spans="1:12" ht="14.25" customHeight="1">
      <c r="A18" s="266"/>
      <c r="B18" s="269"/>
      <c r="C18" s="269"/>
      <c r="D18" s="269"/>
      <c r="E18" s="23"/>
      <c r="J18" s="24"/>
      <c r="K18" s="75"/>
      <c r="L18" s="24"/>
    </row>
    <row r="19" spans="10:12" ht="3.75" customHeight="1">
      <c r="J19" s="24"/>
      <c r="K19" s="24"/>
      <c r="L19" s="24"/>
    </row>
    <row r="20" spans="1:12" ht="18">
      <c r="A20" s="25"/>
      <c r="B20" s="263" t="s">
        <v>165</v>
      </c>
      <c r="C20" s="263"/>
      <c r="D20" s="263"/>
      <c r="E20" s="263"/>
      <c r="F20" s="263"/>
      <c r="J20" s="24"/>
      <c r="K20" s="24"/>
      <c r="L20" s="24"/>
    </row>
    <row r="21" spans="1:12" ht="27.75" customHeight="1">
      <c r="A21" s="26"/>
      <c r="B21" s="27" t="s">
        <v>30</v>
      </c>
      <c r="C21" s="28" t="s">
        <v>31</v>
      </c>
      <c r="D21" s="27" t="s">
        <v>20</v>
      </c>
      <c r="E21" s="27" t="s">
        <v>18</v>
      </c>
      <c r="F21" s="27" t="s">
        <v>19</v>
      </c>
      <c r="J21" s="24"/>
      <c r="K21" s="24"/>
      <c r="L21" s="24"/>
    </row>
    <row r="22" spans="1:6" ht="15" customHeight="1">
      <c r="A22" s="26"/>
      <c r="B22" s="29">
        <v>1440000000</v>
      </c>
      <c r="C22" s="30"/>
      <c r="D22" s="30" t="s">
        <v>15</v>
      </c>
      <c r="E22" s="31">
        <v>0</v>
      </c>
      <c r="F22" s="31">
        <v>0</v>
      </c>
    </row>
    <row r="23" spans="1:6" ht="15" customHeight="1">
      <c r="A23" s="26"/>
      <c r="B23" s="29">
        <v>540000000</v>
      </c>
      <c r="C23" s="30"/>
      <c r="D23" s="43">
        <v>0.1</v>
      </c>
      <c r="E23" s="31">
        <f aca="true" t="shared" si="0" ref="E23:E28">B23*D23</f>
        <v>54000000</v>
      </c>
      <c r="F23" s="31">
        <f>C23*D23</f>
        <v>0</v>
      </c>
    </row>
    <row r="24" spans="1:13" ht="15" customHeight="1">
      <c r="A24" s="26"/>
      <c r="B24" s="29">
        <v>381290323</v>
      </c>
      <c r="C24" s="29">
        <v>300000000</v>
      </c>
      <c r="D24" s="43">
        <v>0.15</v>
      </c>
      <c r="E24" s="31">
        <f t="shared" si="0"/>
        <v>57193548.449999996</v>
      </c>
      <c r="F24" s="31">
        <f>C24*D24</f>
        <v>45000000</v>
      </c>
      <c r="J24" s="63"/>
      <c r="K24" s="63"/>
      <c r="L24" s="63"/>
      <c r="M24" s="63"/>
    </row>
    <row r="25" spans="1:13" ht="13.5" customHeight="1">
      <c r="A25" s="32"/>
      <c r="B25" s="33"/>
      <c r="C25" s="34"/>
      <c r="D25" s="43">
        <v>0.2</v>
      </c>
      <c r="E25" s="31">
        <f t="shared" si="0"/>
        <v>0</v>
      </c>
      <c r="F25" s="31">
        <f>C25*D25</f>
        <v>0</v>
      </c>
      <c r="J25" s="63"/>
      <c r="K25" s="63"/>
      <c r="L25" s="63"/>
      <c r="M25" s="63"/>
    </row>
    <row r="26" spans="1:12" ht="11.25" customHeight="1">
      <c r="A26" s="32"/>
      <c r="B26" s="33"/>
      <c r="C26" s="33"/>
      <c r="D26" s="43">
        <v>0.3</v>
      </c>
      <c r="E26" s="31">
        <f t="shared" si="0"/>
        <v>0</v>
      </c>
      <c r="F26" s="31">
        <v>0</v>
      </c>
      <c r="J26" s="24"/>
      <c r="K26" s="24"/>
      <c r="L26" s="24"/>
    </row>
    <row r="27" spans="1:12" ht="11.25" customHeight="1">
      <c r="A27" s="32"/>
      <c r="B27" s="33"/>
      <c r="C27" s="33"/>
      <c r="D27" s="43"/>
      <c r="E27" s="31">
        <f t="shared" si="0"/>
        <v>0</v>
      </c>
      <c r="F27" s="31"/>
      <c r="J27" s="24"/>
      <c r="K27" s="24"/>
      <c r="L27" s="24"/>
    </row>
    <row r="28" spans="1:12" ht="11.25" customHeight="1">
      <c r="A28" s="32"/>
      <c r="B28" s="33"/>
      <c r="C28" s="33"/>
      <c r="D28" s="43"/>
      <c r="E28" s="31">
        <f t="shared" si="0"/>
        <v>0</v>
      </c>
      <c r="F28" s="31"/>
      <c r="J28" s="24"/>
      <c r="K28" s="24"/>
      <c r="L28" s="24"/>
    </row>
    <row r="29" spans="1:12" ht="15" customHeight="1">
      <c r="A29" s="35" t="s">
        <v>26</v>
      </c>
      <c r="B29" s="36">
        <f>SUM(B22:B26)</f>
        <v>2361290323</v>
      </c>
      <c r="C29" s="40">
        <f>SUM(C22:C26)</f>
        <v>300000000</v>
      </c>
      <c r="D29" s="37"/>
      <c r="E29" s="38">
        <f>SUM(E22:E28)</f>
        <v>111193548.44999999</v>
      </c>
      <c r="F29" s="38">
        <f>SUM(F22:F26)</f>
        <v>45000000</v>
      </c>
      <c r="J29" s="24"/>
      <c r="K29" s="24"/>
      <c r="L29" s="24"/>
    </row>
    <row r="30" spans="1:12" ht="14.25" customHeight="1">
      <c r="A30" s="20"/>
      <c r="B30" s="20"/>
      <c r="C30" s="20"/>
      <c r="D30" s="23"/>
      <c r="E30" s="39"/>
      <c r="F30" s="39"/>
      <c r="J30" s="24"/>
      <c r="K30" s="24"/>
      <c r="L30" s="24"/>
    </row>
    <row r="31" spans="5:11" ht="14.25">
      <c r="E31" s="39"/>
      <c r="F31" s="39"/>
      <c r="H31" s="258" t="s">
        <v>21</v>
      </c>
      <c r="I31" s="258"/>
      <c r="J31" s="258"/>
      <c r="K31" s="258"/>
    </row>
    <row r="32" spans="8:11" ht="14.25">
      <c r="H32" s="258"/>
      <c r="I32" s="258"/>
      <c r="J32" s="258"/>
      <c r="K32" s="258"/>
    </row>
  </sheetData>
  <sheetProtection password="80FE" sheet="1" objects="1" scenarios="1"/>
  <mergeCells count="23">
    <mergeCell ref="A1:L1"/>
    <mergeCell ref="A4:B4"/>
    <mergeCell ref="B20:F20"/>
    <mergeCell ref="A6:B6"/>
    <mergeCell ref="A7:B7"/>
    <mergeCell ref="A16:A18"/>
    <mergeCell ref="B16:B18"/>
    <mergeCell ref="C16:C18"/>
    <mergeCell ref="D16:D18"/>
    <mergeCell ref="A9:D9"/>
    <mergeCell ref="H31:K32"/>
    <mergeCell ref="A3:B3"/>
    <mergeCell ref="A5:B5"/>
    <mergeCell ref="H6:K6"/>
    <mergeCell ref="H5:K5"/>
    <mergeCell ref="H11:K11"/>
    <mergeCell ref="A2:B2"/>
    <mergeCell ref="H3:J3"/>
    <mergeCell ref="G2:L2"/>
    <mergeCell ref="H4:K4"/>
    <mergeCell ref="H9:K9"/>
    <mergeCell ref="H8:K8"/>
    <mergeCell ref="H7:K7"/>
  </mergeCells>
  <printOptions horizontalCentered="1"/>
  <pageMargins left="0" right="0" top="0.35433070866141736" bottom="0" header="0" footer="0"/>
  <pageSetup blackAndWhite="1" fitToHeight="1" fitToWidth="1" horizontalDpi="600" verticalDpi="600" orientation="landscape" paperSize="9" scale="84" r:id="rId1"/>
  <ignoredErrors>
    <ignoredError sqref="L4 E23:E24 F29 F23:F25 B29:C29 L6:L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K7" sqref="K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teymori</dc:creator>
  <cp:keywords/>
  <dc:description/>
  <cp:lastModifiedBy>shalchi_pc</cp:lastModifiedBy>
  <cp:lastPrinted>2024-04-02T15:58:46Z</cp:lastPrinted>
  <dcterms:created xsi:type="dcterms:W3CDTF">2012-12-01T07:47:58Z</dcterms:created>
  <dcterms:modified xsi:type="dcterms:W3CDTF">2024-04-03T06:19:56Z</dcterms:modified>
  <cp:category/>
  <cp:version/>
  <cp:contentType/>
  <cp:contentStatus/>
</cp:coreProperties>
</file>